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8_{EB9702ED-A4B0-45F3-8630-EDA4255D16B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PA VES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7" i="2" l="1"/>
  <c r="C66" i="2"/>
  <c r="D66" i="2" s="1"/>
  <c r="E66" i="2" s="1"/>
  <c r="F66" i="2" s="1"/>
  <c r="G66" i="2" s="1"/>
  <c r="H66" i="2" s="1"/>
  <c r="I66" i="2" s="1"/>
  <c r="J66" i="2" s="1"/>
  <c r="K66" i="2" s="1"/>
  <c r="L66" i="2" s="1"/>
  <c r="M66" i="2" s="1"/>
  <c r="N66" i="2" s="1"/>
  <c r="O66" i="2" s="1"/>
  <c r="P66" i="2" s="1"/>
  <c r="D103" i="2" l="1"/>
  <c r="E103" i="2"/>
  <c r="F103" i="2"/>
  <c r="G103" i="2"/>
  <c r="H103" i="2"/>
  <c r="I103" i="2"/>
  <c r="J103" i="2"/>
  <c r="K103" i="2"/>
  <c r="L103" i="2"/>
  <c r="M103" i="2"/>
  <c r="N103" i="2"/>
  <c r="O103" i="2"/>
  <c r="P103" i="2"/>
  <c r="C103" i="2"/>
  <c r="D38" i="2" l="1"/>
  <c r="E38" i="2"/>
  <c r="F38" i="2"/>
  <c r="G38" i="2"/>
  <c r="H38" i="2"/>
  <c r="I38" i="2"/>
  <c r="J38" i="2"/>
  <c r="K38" i="2"/>
  <c r="L38" i="2"/>
  <c r="M38" i="2"/>
  <c r="N38" i="2"/>
  <c r="O38" i="2"/>
  <c r="P38" i="2"/>
  <c r="B61" i="2"/>
  <c r="B32" i="2"/>
  <c r="B22" i="2"/>
  <c r="B23" i="2"/>
  <c r="B17" i="2"/>
  <c r="B16" i="2"/>
  <c r="B59" i="2"/>
  <c r="C32" i="2" l="1"/>
  <c r="B38" i="2"/>
  <c r="C38" i="2"/>
  <c r="C61" i="2" l="1"/>
  <c r="D61" i="2" s="1"/>
  <c r="E61" i="2" s="1"/>
  <c r="F61" i="2" s="1"/>
  <c r="G61" i="2" s="1"/>
  <c r="H61" i="2" s="1"/>
  <c r="I61" i="2" s="1"/>
  <c r="J61" i="2" s="1"/>
  <c r="K61" i="2" s="1"/>
  <c r="L61" i="2" s="1"/>
  <c r="M61" i="2" s="1"/>
  <c r="N61" i="2" s="1"/>
  <c r="O61" i="2" s="1"/>
  <c r="P61" i="2" s="1"/>
  <c r="C57" i="2" l="1"/>
  <c r="D57" i="2" s="1"/>
  <c r="C56" i="2"/>
  <c r="D56" i="2" s="1"/>
  <c r="C55" i="2"/>
  <c r="D55" i="2" s="1"/>
  <c r="C54" i="2"/>
  <c r="D54" i="2" s="1"/>
  <c r="E54" i="2" s="1"/>
  <c r="C53" i="2"/>
  <c r="D53" i="2" s="1"/>
  <c r="C52" i="2"/>
  <c r="D52" i="2" s="1"/>
  <c r="C51" i="2"/>
  <c r="D51" i="2" s="1"/>
  <c r="C50" i="2"/>
  <c r="D50" i="2" s="1"/>
  <c r="E50" i="2" s="1"/>
  <c r="F50" i="2" l="1"/>
  <c r="G50" i="2" s="1"/>
  <c r="H50" i="2" s="1"/>
  <c r="I50" i="2" s="1"/>
  <c r="J50" i="2" s="1"/>
  <c r="K50" i="2" s="1"/>
  <c r="L50" i="2" s="1"/>
  <c r="M50" i="2" s="1"/>
  <c r="N50" i="2" s="1"/>
  <c r="O50" i="2" s="1"/>
  <c r="P50" i="2" s="1"/>
  <c r="E51" i="2"/>
  <c r="E52" i="2" s="1"/>
  <c r="E53" i="2" s="1"/>
  <c r="E55" i="2"/>
  <c r="E56" i="2" s="1"/>
  <c r="E57" i="2" s="1"/>
  <c r="F54" i="2"/>
  <c r="G54" i="2" s="1"/>
  <c r="H54" i="2" s="1"/>
  <c r="I54" i="2" s="1"/>
  <c r="J54" i="2" s="1"/>
  <c r="K54" i="2" s="1"/>
  <c r="L54" i="2" s="1"/>
  <c r="M54" i="2" s="1"/>
  <c r="N54" i="2" s="1"/>
  <c r="O54" i="2" s="1"/>
  <c r="P54" i="2" s="1"/>
  <c r="C68" i="2"/>
  <c r="C69" i="2"/>
  <c r="C59" i="2"/>
  <c r="P86" i="2"/>
  <c r="P93" i="2"/>
  <c r="D69" i="2" l="1"/>
  <c r="D68" i="2"/>
  <c r="D32" i="2"/>
  <c r="C30" i="2"/>
  <c r="F51" i="2" l="1"/>
  <c r="F52" i="2" s="1"/>
  <c r="F53" i="2" s="1"/>
  <c r="E68" i="2"/>
  <c r="F55" i="2"/>
  <c r="F56" i="2" s="1"/>
  <c r="F57" i="2" s="1"/>
  <c r="E69" i="2"/>
  <c r="P33" i="2"/>
  <c r="G55" i="2" l="1"/>
  <c r="G56" i="2" s="1"/>
  <c r="G57" i="2" s="1"/>
  <c r="F69" i="2"/>
  <c r="G51" i="2"/>
  <c r="G52" i="2" s="1"/>
  <c r="G53" i="2" s="1"/>
  <c r="F68" i="2"/>
  <c r="D59" i="2"/>
  <c r="H51" i="2" l="1"/>
  <c r="H52" i="2" s="1"/>
  <c r="H53" i="2" s="1"/>
  <c r="G68" i="2"/>
  <c r="H55" i="2"/>
  <c r="H56" i="2" s="1"/>
  <c r="H57" i="2" s="1"/>
  <c r="G69" i="2"/>
  <c r="E32" i="2"/>
  <c r="E59" i="2"/>
  <c r="I55" i="2" l="1"/>
  <c r="I56" i="2" s="1"/>
  <c r="I57" i="2" s="1"/>
  <c r="H69" i="2"/>
  <c r="I51" i="2"/>
  <c r="I52" i="2" s="1"/>
  <c r="I53" i="2" s="1"/>
  <c r="H68" i="2"/>
  <c r="F32" i="2"/>
  <c r="F59" i="2"/>
  <c r="I68" i="2" l="1"/>
  <c r="I59" i="2"/>
  <c r="J51" i="2"/>
  <c r="J52" i="2" s="1"/>
  <c r="J53" i="2" s="1"/>
  <c r="J55" i="2"/>
  <c r="J56" i="2" s="1"/>
  <c r="J57" i="2" s="1"/>
  <c r="I69" i="2"/>
  <c r="G32" i="2"/>
  <c r="G59" i="2"/>
  <c r="K55" i="2" l="1"/>
  <c r="K56" i="2" s="1"/>
  <c r="K57" i="2" s="1"/>
  <c r="J69" i="2"/>
  <c r="K51" i="2"/>
  <c r="K52" i="2" s="1"/>
  <c r="K53" i="2" s="1"/>
  <c r="J68" i="2"/>
  <c r="H32" i="2"/>
  <c r="H59" i="2"/>
  <c r="I32" i="2" s="1"/>
  <c r="C70" i="2"/>
  <c r="B43" i="2"/>
  <c r="C33" i="2"/>
  <c r="B33" i="2"/>
  <c r="L51" i="2" l="1"/>
  <c r="L52" i="2" s="1"/>
  <c r="L53" i="2" s="1"/>
  <c r="K68" i="2"/>
  <c r="L55" i="2"/>
  <c r="L56" i="2" s="1"/>
  <c r="L57" i="2" s="1"/>
  <c r="K69" i="2"/>
  <c r="J32" i="2"/>
  <c r="D70" i="2"/>
  <c r="C43" i="2"/>
  <c r="M55" i="2" l="1"/>
  <c r="M56" i="2" s="1"/>
  <c r="M57" i="2" s="1"/>
  <c r="L69" i="2"/>
  <c r="M51" i="2"/>
  <c r="M52" i="2" s="1"/>
  <c r="M53" i="2" s="1"/>
  <c r="L68" i="2"/>
  <c r="J59" i="2"/>
  <c r="E70" i="2"/>
  <c r="F70" i="2"/>
  <c r="D33" i="2"/>
  <c r="C73" i="2"/>
  <c r="D43" i="2"/>
  <c r="C23" i="2"/>
  <c r="C22" i="2"/>
  <c r="B11" i="2"/>
  <c r="C11" i="2" s="1"/>
  <c r="B10" i="2"/>
  <c r="C10" i="2" s="1"/>
  <c r="C18" i="2" s="1"/>
  <c r="C3" i="2"/>
  <c r="D3" i="2" s="1"/>
  <c r="E3" i="2" s="1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B6" i="2"/>
  <c r="C6" i="2" s="1"/>
  <c r="D6" i="2" s="1"/>
  <c r="E6" i="2" s="1"/>
  <c r="F6" i="2" s="1"/>
  <c r="G6" i="2" s="1"/>
  <c r="H6" i="2" s="1"/>
  <c r="I6" i="2" s="1"/>
  <c r="J6" i="2" s="1"/>
  <c r="K6" i="2" s="1"/>
  <c r="L6" i="2" s="1"/>
  <c r="N51" i="2" l="1"/>
  <c r="N52" i="2" s="1"/>
  <c r="N53" i="2" s="1"/>
  <c r="M68" i="2"/>
  <c r="N55" i="2"/>
  <c r="N56" i="2" s="1"/>
  <c r="N57" i="2" s="1"/>
  <c r="M69" i="2"/>
  <c r="K32" i="2"/>
  <c r="D26" i="2"/>
  <c r="E26" i="2" s="1"/>
  <c r="F26" i="2" s="1"/>
  <c r="G26" i="2" s="1"/>
  <c r="H26" i="2" s="1"/>
  <c r="I26" i="2" s="1"/>
  <c r="J26" i="2" s="1"/>
  <c r="K26" i="2" s="1"/>
  <c r="L26" i="2" s="1"/>
  <c r="M26" i="2" s="1"/>
  <c r="N26" i="2" s="1"/>
  <c r="O26" i="2" s="1"/>
  <c r="P26" i="2" s="1"/>
  <c r="C21" i="2"/>
  <c r="D21" i="2" s="1"/>
  <c r="E21" i="2" s="1"/>
  <c r="F21" i="2" s="1"/>
  <c r="G21" i="2" s="1"/>
  <c r="H21" i="2" s="1"/>
  <c r="I21" i="2" s="1"/>
  <c r="J21" i="2" s="1"/>
  <c r="K21" i="2" s="1"/>
  <c r="L21" i="2" s="1"/>
  <c r="M21" i="2" s="1"/>
  <c r="D11" i="2"/>
  <c r="E11" i="2" s="1"/>
  <c r="F11" i="2" s="1"/>
  <c r="C19" i="2"/>
  <c r="K59" i="2"/>
  <c r="L32" i="2" s="1"/>
  <c r="E73" i="2"/>
  <c r="E43" i="2"/>
  <c r="D10" i="2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B28" i="2"/>
  <c r="B35" i="2" s="1"/>
  <c r="B62" i="2" s="1"/>
  <c r="B60" i="2" s="1"/>
  <c r="B9" i="2"/>
  <c r="C9" i="2" s="1"/>
  <c r="B8" i="2"/>
  <c r="C8" i="2" s="1"/>
  <c r="D23" i="2"/>
  <c r="E23" i="2" s="1"/>
  <c r="F23" i="2" s="1"/>
  <c r="G23" i="2" s="1"/>
  <c r="H23" i="2" s="1"/>
  <c r="I23" i="2" s="1"/>
  <c r="J23" i="2" s="1"/>
  <c r="K23" i="2" s="1"/>
  <c r="L23" i="2" s="1"/>
  <c r="M23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N22" i="2" s="1"/>
  <c r="O22" i="2" s="1"/>
  <c r="P22" i="2" s="1"/>
  <c r="D24" i="2"/>
  <c r="E24" i="2" s="1"/>
  <c r="F24" i="2" s="1"/>
  <c r="G24" i="2" s="1"/>
  <c r="H24" i="2" s="1"/>
  <c r="I24" i="2" s="1"/>
  <c r="J24" i="2" s="1"/>
  <c r="K24" i="2" s="1"/>
  <c r="L24" i="2" s="1"/>
  <c r="M24" i="2" s="1"/>
  <c r="N24" i="2" s="1"/>
  <c r="O24" i="2" s="1"/>
  <c r="P24" i="2" s="1"/>
  <c r="O55" i="2" l="1"/>
  <c r="O56" i="2" s="1"/>
  <c r="O57" i="2" s="1"/>
  <c r="N69" i="2"/>
  <c r="O51" i="2"/>
  <c r="O52" i="2" s="1"/>
  <c r="O53" i="2" s="1"/>
  <c r="N68" i="2"/>
  <c r="N23" i="2"/>
  <c r="O23" i="2" s="1"/>
  <c r="P23" i="2" s="1"/>
  <c r="N21" i="2"/>
  <c r="O21" i="2" s="1"/>
  <c r="P21" i="2" s="1"/>
  <c r="L59" i="2"/>
  <c r="D73" i="2"/>
  <c r="E18" i="2"/>
  <c r="G70" i="2"/>
  <c r="F43" i="2"/>
  <c r="D18" i="2"/>
  <c r="D19" i="2"/>
  <c r="E19" i="2"/>
  <c r="D97" i="2"/>
  <c r="E97" i="2" s="1"/>
  <c r="F97" i="2" s="1"/>
  <c r="G97" i="2" s="1"/>
  <c r="H97" i="2" s="1"/>
  <c r="I97" i="2" s="1"/>
  <c r="J97" i="2" s="1"/>
  <c r="K97" i="2" s="1"/>
  <c r="L97" i="2" s="1"/>
  <c r="M97" i="2" s="1"/>
  <c r="N97" i="2" s="1"/>
  <c r="O97" i="2" s="1"/>
  <c r="P97" i="2" s="1"/>
  <c r="D75" i="2"/>
  <c r="E75" i="2" s="1"/>
  <c r="F75" i="2" s="1"/>
  <c r="G75" i="2" s="1"/>
  <c r="H75" i="2" s="1"/>
  <c r="I75" i="2" s="1"/>
  <c r="J75" i="2" s="1"/>
  <c r="K75" i="2" s="1"/>
  <c r="L75" i="2" s="1"/>
  <c r="M75" i="2" s="1"/>
  <c r="N75" i="2" s="1"/>
  <c r="O75" i="2" s="1"/>
  <c r="P75" i="2" s="1"/>
  <c r="D90" i="2"/>
  <c r="E90" i="2" s="1"/>
  <c r="F90" i="2" s="1"/>
  <c r="G90" i="2" s="1"/>
  <c r="H90" i="2" s="1"/>
  <c r="I90" i="2" s="1"/>
  <c r="J90" i="2" s="1"/>
  <c r="K90" i="2" s="1"/>
  <c r="L90" i="2" s="1"/>
  <c r="M90" i="2" s="1"/>
  <c r="N90" i="2" s="1"/>
  <c r="O90" i="2" s="1"/>
  <c r="P90" i="2" s="1"/>
  <c r="O68" i="2" l="1"/>
  <c r="O69" i="2"/>
  <c r="M32" i="2"/>
  <c r="M59" i="2"/>
  <c r="F18" i="2"/>
  <c r="H70" i="2"/>
  <c r="F73" i="2"/>
  <c r="G73" i="2"/>
  <c r="F19" i="2"/>
  <c r="G43" i="2"/>
  <c r="G11" i="2"/>
  <c r="H11" i="2" s="1"/>
  <c r="G18" i="2"/>
  <c r="D93" i="2"/>
  <c r="E93" i="2"/>
  <c r="F93" i="2"/>
  <c r="G93" i="2"/>
  <c r="H93" i="2"/>
  <c r="I93" i="2"/>
  <c r="J93" i="2"/>
  <c r="K93" i="2"/>
  <c r="L93" i="2"/>
  <c r="M93" i="2"/>
  <c r="N93" i="2"/>
  <c r="O93" i="2"/>
  <c r="C93" i="2"/>
  <c r="P55" i="2" l="1"/>
  <c r="P56" i="2" s="1"/>
  <c r="P57" i="2" s="1"/>
  <c r="P51" i="2"/>
  <c r="P52" i="2" s="1"/>
  <c r="P53" i="2" s="1"/>
  <c r="N32" i="2"/>
  <c r="N59" i="2"/>
  <c r="I70" i="2"/>
  <c r="H73" i="2"/>
  <c r="H43" i="2"/>
  <c r="H19" i="2" s="1"/>
  <c r="G19" i="2"/>
  <c r="H18" i="2"/>
  <c r="I11" i="2"/>
  <c r="P69" i="2" l="1"/>
  <c r="P68" i="2"/>
  <c r="O32" i="2"/>
  <c r="O59" i="2"/>
  <c r="P32" i="2" s="1"/>
  <c r="J70" i="2"/>
  <c r="I73" i="2"/>
  <c r="I43" i="2"/>
  <c r="I19" i="2" s="1"/>
  <c r="J11" i="2"/>
  <c r="I18" i="2"/>
  <c r="E33" i="2"/>
  <c r="F33" i="2"/>
  <c r="G33" i="2"/>
  <c r="H33" i="2"/>
  <c r="I33" i="2"/>
  <c r="J33" i="2"/>
  <c r="K33" i="2"/>
  <c r="L33" i="2"/>
  <c r="M33" i="2"/>
  <c r="N33" i="2"/>
  <c r="O33" i="2"/>
  <c r="P70" i="2" l="1"/>
  <c r="P59" i="2"/>
  <c r="K70" i="2"/>
  <c r="J73" i="2"/>
  <c r="J43" i="2"/>
  <c r="J19" i="2" s="1"/>
  <c r="K11" i="2"/>
  <c r="J18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D67" i="2"/>
  <c r="E67" i="2" s="1"/>
  <c r="F67" i="2" s="1"/>
  <c r="G67" i="2" s="1"/>
  <c r="H67" i="2" s="1"/>
  <c r="I67" i="2" s="1"/>
  <c r="J67" i="2" s="1"/>
  <c r="K67" i="2" s="1"/>
  <c r="L67" i="2" s="1"/>
  <c r="M67" i="2" s="1"/>
  <c r="N67" i="2" s="1"/>
  <c r="O67" i="2" s="1"/>
  <c r="P67" i="2" s="1"/>
  <c r="D49" i="2"/>
  <c r="E49" i="2" s="1"/>
  <c r="F49" i="2" s="1"/>
  <c r="G49" i="2" s="1"/>
  <c r="H49" i="2" s="1"/>
  <c r="I49" i="2" s="1"/>
  <c r="J49" i="2" s="1"/>
  <c r="K49" i="2" s="1"/>
  <c r="L49" i="2" s="1"/>
  <c r="M49" i="2" s="1"/>
  <c r="N49" i="2" s="1"/>
  <c r="O49" i="2" s="1"/>
  <c r="P49" i="2" s="1"/>
  <c r="C37" i="2"/>
  <c r="D37" i="2" s="1"/>
  <c r="E37" i="2" s="1"/>
  <c r="F37" i="2" s="1"/>
  <c r="G37" i="2" s="1"/>
  <c r="H37" i="2" s="1"/>
  <c r="I37" i="2" s="1"/>
  <c r="J37" i="2" s="1"/>
  <c r="K37" i="2" s="1"/>
  <c r="L37" i="2" s="1"/>
  <c r="M37" i="2" s="1"/>
  <c r="N37" i="2" s="1"/>
  <c r="O37" i="2" s="1"/>
  <c r="P37" i="2" s="1"/>
  <c r="P71" i="2" l="1"/>
  <c r="L70" i="2"/>
  <c r="K73" i="2"/>
  <c r="K43" i="2"/>
  <c r="K19" i="2" s="1"/>
  <c r="L11" i="2"/>
  <c r="K18" i="2"/>
  <c r="D25" i="2"/>
  <c r="E25" i="2" s="1"/>
  <c r="F25" i="2" s="1"/>
  <c r="G25" i="2" s="1"/>
  <c r="H25" i="2" s="1"/>
  <c r="I25" i="2" s="1"/>
  <c r="J25" i="2" s="1"/>
  <c r="K25" i="2" s="1"/>
  <c r="L25" i="2" s="1"/>
  <c r="M25" i="2" s="1"/>
  <c r="N25" i="2" s="1"/>
  <c r="O25" i="2" s="1"/>
  <c r="P25" i="2" s="1"/>
  <c r="B84" i="2"/>
  <c r="B86" i="2"/>
  <c r="M70" i="2" l="1"/>
  <c r="L73" i="2"/>
  <c r="L43" i="2"/>
  <c r="L19" i="2" s="1"/>
  <c r="M11" i="2"/>
  <c r="L18" i="2"/>
  <c r="B83" i="2"/>
  <c r="B85" i="2" s="1"/>
  <c r="N70" i="2" l="1"/>
  <c r="O70" i="2"/>
  <c r="M43" i="2"/>
  <c r="N73" i="2"/>
  <c r="M18" i="2"/>
  <c r="M19" i="2"/>
  <c r="N11" i="2"/>
  <c r="C83" i="2"/>
  <c r="C98" i="2"/>
  <c r="D71" i="2"/>
  <c r="C71" i="2"/>
  <c r="C91" i="2"/>
  <c r="C76" i="2"/>
  <c r="M73" i="2" l="1"/>
  <c r="N43" i="2"/>
  <c r="N19" i="2" s="1"/>
  <c r="O11" i="2"/>
  <c r="P11" i="2" s="1"/>
  <c r="N18" i="2"/>
  <c r="D83" i="2"/>
  <c r="D98" i="2"/>
  <c r="E83" i="2"/>
  <c r="E98" i="2"/>
  <c r="E71" i="2"/>
  <c r="D91" i="2"/>
  <c r="D76" i="2"/>
  <c r="E91" i="2"/>
  <c r="E76" i="2"/>
  <c r="F98" i="2"/>
  <c r="P18" i="2" l="1"/>
  <c r="O43" i="2"/>
  <c r="O19" i="2" s="1"/>
  <c r="P43" i="2"/>
  <c r="P19" i="2" s="1"/>
  <c r="O18" i="2"/>
  <c r="F71" i="2"/>
  <c r="G98" i="2"/>
  <c r="F83" i="2"/>
  <c r="F76" i="2"/>
  <c r="F91" i="2"/>
  <c r="P73" i="2" l="1"/>
  <c r="O73" i="2"/>
  <c r="G71" i="2"/>
  <c r="H98" i="2"/>
  <c r="G76" i="2"/>
  <c r="G91" i="2"/>
  <c r="G83" i="2"/>
  <c r="P91" i="2" l="1"/>
  <c r="P83" i="2"/>
  <c r="P76" i="2"/>
  <c r="P98" i="2"/>
  <c r="H71" i="2"/>
  <c r="H91" i="2"/>
  <c r="H83" i="2"/>
  <c r="H76" i="2"/>
  <c r="I98" i="2"/>
  <c r="I71" i="2" l="1"/>
  <c r="J98" i="2"/>
  <c r="I91" i="2"/>
  <c r="I83" i="2"/>
  <c r="I76" i="2"/>
  <c r="J71" i="2" l="1"/>
  <c r="K98" i="2"/>
  <c r="J91" i="2"/>
  <c r="J83" i="2"/>
  <c r="J76" i="2"/>
  <c r="K71" i="2" l="1"/>
  <c r="L98" i="2"/>
  <c r="K83" i="2"/>
  <c r="K76" i="2"/>
  <c r="K91" i="2"/>
  <c r="L71" i="2" l="1"/>
  <c r="L83" i="2"/>
  <c r="L76" i="2"/>
  <c r="L91" i="2"/>
  <c r="M98" i="2"/>
  <c r="M71" i="2" l="1"/>
  <c r="O98" i="2"/>
  <c r="M83" i="2"/>
  <c r="M76" i="2"/>
  <c r="M91" i="2"/>
  <c r="N98" i="2"/>
  <c r="O71" i="2" l="1"/>
  <c r="N71" i="2"/>
  <c r="O76" i="2"/>
  <c r="O91" i="2"/>
  <c r="O83" i="2"/>
  <c r="N83" i="2"/>
  <c r="N76" i="2"/>
  <c r="N91" i="2"/>
  <c r="D8" i="2"/>
  <c r="C16" i="2"/>
  <c r="E8" i="2" l="1"/>
  <c r="D16" i="2"/>
  <c r="F8" i="2" l="1"/>
  <c r="E16" i="2"/>
  <c r="F16" i="2" l="1"/>
  <c r="G8" i="2"/>
  <c r="H8" i="2" l="1"/>
  <c r="G16" i="2"/>
  <c r="H16" i="2" l="1"/>
  <c r="I8" i="2"/>
  <c r="J8" i="2" l="1"/>
  <c r="I16" i="2"/>
  <c r="K8" i="2" l="1"/>
  <c r="J16" i="2"/>
  <c r="K16" i="2" l="1"/>
  <c r="L8" i="2"/>
  <c r="M8" i="2" l="1"/>
  <c r="L16" i="2"/>
  <c r="M16" i="2" l="1"/>
  <c r="N8" i="2"/>
  <c r="O8" i="2" l="1"/>
  <c r="N16" i="2"/>
  <c r="P8" i="2" l="1"/>
  <c r="P16" i="2" s="1"/>
  <c r="O16" i="2"/>
  <c r="C17" i="2"/>
  <c r="C28" i="2" s="1"/>
  <c r="D9" i="2"/>
  <c r="D17" i="2" s="1"/>
  <c r="D28" i="2" s="1"/>
  <c r="E9" i="2" l="1"/>
  <c r="F9" i="2" s="1"/>
  <c r="D35" i="2"/>
  <c r="D101" i="2"/>
  <c r="D104" i="2" s="1"/>
  <c r="D92" i="2"/>
  <c r="D77" i="2"/>
  <c r="D78" i="2" s="1"/>
  <c r="D80" i="2" s="1"/>
  <c r="D84" i="2"/>
  <c r="D85" i="2" s="1"/>
  <c r="C84" i="2"/>
  <c r="C85" i="2" s="1"/>
  <c r="C92" i="2"/>
  <c r="C35" i="2"/>
  <c r="C62" i="2" s="1"/>
  <c r="C60" i="2" s="1"/>
  <c r="C101" i="2"/>
  <c r="C104" i="2" s="1"/>
  <c r="C77" i="2"/>
  <c r="C78" i="2" s="1"/>
  <c r="C80" i="2" s="1"/>
  <c r="C105" i="2" l="1"/>
  <c r="D105" i="2" s="1"/>
  <c r="E17" i="2"/>
  <c r="E28" i="2" s="1"/>
  <c r="E92" i="2" s="1"/>
  <c r="D62" i="2"/>
  <c r="D60" i="2" s="1"/>
  <c r="D94" i="2"/>
  <c r="D95" i="2"/>
  <c r="E101" i="2"/>
  <c r="E104" i="2" s="1"/>
  <c r="C94" i="2"/>
  <c r="C95" i="2"/>
  <c r="G9" i="2"/>
  <c r="F17" i="2"/>
  <c r="F28" i="2" s="1"/>
  <c r="E84" i="2" l="1"/>
  <c r="E85" i="2" s="1"/>
  <c r="E35" i="2"/>
  <c r="E77" i="2"/>
  <c r="E78" i="2" s="1"/>
  <c r="E80" i="2" s="1"/>
  <c r="E62" i="2"/>
  <c r="E60" i="2" s="1"/>
  <c r="F35" i="2"/>
  <c r="F101" i="2"/>
  <c r="F104" i="2" s="1"/>
  <c r="F84" i="2"/>
  <c r="F85" i="2" s="1"/>
  <c r="F92" i="2"/>
  <c r="F77" i="2"/>
  <c r="F78" i="2" s="1"/>
  <c r="F80" i="2" s="1"/>
  <c r="H9" i="2"/>
  <c r="G17" i="2"/>
  <c r="G28" i="2" s="1"/>
  <c r="E94" i="2"/>
  <c r="E95" i="2"/>
  <c r="E105" i="2"/>
  <c r="F62" i="2" l="1"/>
  <c r="F60" i="2" s="1"/>
  <c r="F105" i="2"/>
  <c r="G84" i="2"/>
  <c r="G85" i="2" s="1"/>
  <c r="G101" i="2"/>
  <c r="G104" i="2" s="1"/>
  <c r="G35" i="2"/>
  <c r="G92" i="2"/>
  <c r="G77" i="2"/>
  <c r="G78" i="2" s="1"/>
  <c r="G80" i="2" s="1"/>
  <c r="H17" i="2"/>
  <c r="H28" i="2" s="1"/>
  <c r="I9" i="2"/>
  <c r="F94" i="2"/>
  <c r="F95" i="2"/>
  <c r="G62" i="2" l="1"/>
  <c r="G60" i="2" s="1"/>
  <c r="G105" i="2"/>
  <c r="J9" i="2"/>
  <c r="I17" i="2"/>
  <c r="I28" i="2" s="1"/>
  <c r="H92" i="2"/>
  <c r="H77" i="2"/>
  <c r="H78" i="2" s="1"/>
  <c r="H80" i="2" s="1"/>
  <c r="H84" i="2"/>
  <c r="H85" i="2" s="1"/>
  <c r="H101" i="2"/>
  <c r="H104" i="2" s="1"/>
  <c r="H35" i="2"/>
  <c r="G94" i="2"/>
  <c r="G95" i="2"/>
  <c r="H62" i="2" l="1"/>
  <c r="H60" i="2" s="1"/>
  <c r="H105" i="2"/>
  <c r="H94" i="2"/>
  <c r="H95" i="2"/>
  <c r="I92" i="2"/>
  <c r="I101" i="2"/>
  <c r="I104" i="2" s="1"/>
  <c r="I77" i="2"/>
  <c r="I78" i="2" s="1"/>
  <c r="I80" i="2" s="1"/>
  <c r="I35" i="2"/>
  <c r="I84" i="2"/>
  <c r="I85" i="2" s="1"/>
  <c r="K9" i="2"/>
  <c r="J17" i="2"/>
  <c r="J28" i="2" s="1"/>
  <c r="I62" i="2" l="1"/>
  <c r="I60" i="2" s="1"/>
  <c r="I105" i="2"/>
  <c r="I95" i="2"/>
  <c r="I94" i="2"/>
  <c r="J84" i="2"/>
  <c r="J85" i="2" s="1"/>
  <c r="J101" i="2"/>
  <c r="J104" i="2" s="1"/>
  <c r="J77" i="2"/>
  <c r="J78" i="2" s="1"/>
  <c r="J80" i="2" s="1"/>
  <c r="J92" i="2"/>
  <c r="J35" i="2"/>
  <c r="L9" i="2"/>
  <c r="K17" i="2"/>
  <c r="K28" i="2" s="1"/>
  <c r="J62" i="2" l="1"/>
  <c r="J60" i="2" s="1"/>
  <c r="J105" i="2"/>
  <c r="J94" i="2"/>
  <c r="J95" i="2"/>
  <c r="K92" i="2"/>
  <c r="K35" i="2"/>
  <c r="K101" i="2"/>
  <c r="K104" i="2" s="1"/>
  <c r="K84" i="2"/>
  <c r="K85" i="2" s="1"/>
  <c r="K77" i="2"/>
  <c r="K78" i="2" s="1"/>
  <c r="K80" i="2" s="1"/>
  <c r="L17" i="2"/>
  <c r="L28" i="2" s="1"/>
  <c r="M9" i="2"/>
  <c r="K62" i="2" l="1"/>
  <c r="K60" i="2" s="1"/>
  <c r="K105" i="2"/>
  <c r="K94" i="2"/>
  <c r="K95" i="2"/>
  <c r="M17" i="2"/>
  <c r="M28" i="2" s="1"/>
  <c r="N9" i="2"/>
  <c r="L92" i="2"/>
  <c r="L101" i="2"/>
  <c r="L104" i="2" s="1"/>
  <c r="L35" i="2"/>
  <c r="L84" i="2"/>
  <c r="L85" i="2" s="1"/>
  <c r="L77" i="2"/>
  <c r="L78" i="2" s="1"/>
  <c r="L80" i="2" s="1"/>
  <c r="L62" i="2" l="1"/>
  <c r="L60" i="2" s="1"/>
  <c r="L105" i="2"/>
  <c r="L94" i="2"/>
  <c r="L95" i="2"/>
  <c r="N17" i="2"/>
  <c r="N28" i="2" s="1"/>
  <c r="O9" i="2"/>
  <c r="M35" i="2"/>
  <c r="M77" i="2"/>
  <c r="M78" i="2" s="1"/>
  <c r="M80" i="2" s="1"/>
  <c r="M101" i="2"/>
  <c r="M104" i="2" s="1"/>
  <c r="M84" i="2"/>
  <c r="M85" i="2" s="1"/>
  <c r="M92" i="2"/>
  <c r="M62" i="2" l="1"/>
  <c r="M60" i="2" s="1"/>
  <c r="M105" i="2"/>
  <c r="O17" i="2"/>
  <c r="O28" i="2" s="1"/>
  <c r="P9" i="2"/>
  <c r="P17" i="2" s="1"/>
  <c r="P28" i="2" s="1"/>
  <c r="N77" i="2"/>
  <c r="N78" i="2" s="1"/>
  <c r="N80" i="2" s="1"/>
  <c r="N35" i="2"/>
  <c r="N101" i="2"/>
  <c r="N104" i="2" s="1"/>
  <c r="N92" i="2"/>
  <c r="N84" i="2"/>
  <c r="N85" i="2" s="1"/>
  <c r="M95" i="2"/>
  <c r="M94" i="2"/>
  <c r="N62" i="2" l="1"/>
  <c r="N60" i="2" s="1"/>
  <c r="N105" i="2"/>
  <c r="P84" i="2"/>
  <c r="P85" i="2" s="1"/>
  <c r="P101" i="2"/>
  <c r="P104" i="2" s="1"/>
  <c r="P35" i="2"/>
  <c r="P92" i="2"/>
  <c r="P77" i="2"/>
  <c r="P78" i="2" s="1"/>
  <c r="P80" i="2" s="1"/>
  <c r="O92" i="2"/>
  <c r="O101" i="2"/>
  <c r="O104" i="2" s="1"/>
  <c r="O77" i="2"/>
  <c r="O78" i="2" s="1"/>
  <c r="O80" i="2" s="1"/>
  <c r="O84" i="2"/>
  <c r="O85" i="2" s="1"/>
  <c r="O35" i="2"/>
  <c r="N95" i="2"/>
  <c r="N94" i="2"/>
  <c r="P62" i="2" l="1"/>
  <c r="P60" i="2" s="1"/>
  <c r="O62" i="2"/>
  <c r="O60" i="2" s="1"/>
  <c r="O105" i="2"/>
  <c r="P105" i="2" s="1"/>
  <c r="O94" i="2"/>
  <c r="O95" i="2"/>
  <c r="P95" i="2"/>
  <c r="P94" i="2"/>
</calcChain>
</file>

<file path=xl/sharedStrings.xml><?xml version="1.0" encoding="utf-8"?>
<sst xmlns="http://schemas.openxmlformats.org/spreadsheetml/2006/main" count="88" uniqueCount="76">
  <si>
    <t>Hinnamuutuse indeks</t>
  </si>
  <si>
    <t>Vee-erikasutustasu</t>
  </si>
  <si>
    <t>Tööjõukulu muutuse indeks</t>
  </si>
  <si>
    <t>TOOTMISMAHUD</t>
  </si>
  <si>
    <t>MUUTUVKULUD</t>
  </si>
  <si>
    <t>PÜSIKULUD</t>
  </si>
  <si>
    <t>Tööjõukulu</t>
  </si>
  <si>
    <t>Reovee saastetasu</t>
  </si>
  <si>
    <t>VESI MÜÜDUD KOKKU</t>
  </si>
  <si>
    <t>REOVESI MÜÜDUD KOKKU</t>
  </si>
  <si>
    <t>TEGEVUSKULUDE JA LAENUKATTKORDAJA TÄITMINE</t>
  </si>
  <si>
    <t>TEGEVUSTULUD</t>
  </si>
  <si>
    <t>Koondhinnamuutusindeks</t>
  </si>
  <si>
    <t>Elektrikulu reoveepuhasti ja -pumplad</t>
  </si>
  <si>
    <t>Elektrikulu joogiveevarustus</t>
  </si>
  <si>
    <t xml:space="preserve">Muud kulud </t>
  </si>
  <si>
    <t>FINANTSKOHUSTUSED</t>
  </si>
  <si>
    <t>TULUD KOKKU</t>
  </si>
  <si>
    <t>RAHAVOOG ENNE LAENUTEENINDUST</t>
  </si>
  <si>
    <t>LAENUKATTEKORDAJA</t>
  </si>
  <si>
    <t>TEGEVUSKULUD</t>
  </si>
  <si>
    <t>Teenuste kulu kuus keskmisel ühiktarbimisel</t>
  </si>
  <si>
    <t>Teenuse kulukus (%)</t>
  </si>
  <si>
    <t>OMAKAPITALI KULUM</t>
  </si>
  <si>
    <t>VEEMAJANDUSE EBITDA</t>
  </si>
  <si>
    <t>VEEMAJANDUSE TULEMINÄITAJAD</t>
  </si>
  <si>
    <t>TEGEVUSKULUD (KULUMITA)</t>
  </si>
  <si>
    <t>Reovesi reoveepuhastitesse (m3)</t>
  </si>
  <si>
    <t xml:space="preserve">Kaalutud keskmine elanike veetariif </t>
  </si>
  <si>
    <t xml:space="preserve">Kaalutud keskmine elanike reoveetariif </t>
  </si>
  <si>
    <t>VEEMAJANDUSE EBIT (OMAKAP.KULUMi KATMINE)</t>
  </si>
  <si>
    <t>Masinate ja kütuse kulud</t>
  </si>
  <si>
    <t>Hooldus (sh.kaubad, toore sisseost), vesi</t>
  </si>
  <si>
    <t>Hooldus (sh.kaubad, toore, sisseost), kanal.</t>
  </si>
  <si>
    <t>Sihtfinantseeringutevälise põhivara kulum</t>
  </si>
  <si>
    <t>Põhjendatud tulukus varadelt (WACC väärtusel 6,28%)</t>
  </si>
  <si>
    <t>Põhivara jääkmaksumus põhjendatud tulususe arvestamiseks</t>
  </si>
  <si>
    <t>RAHAVOOG (EBITDA) ENNE LAENUTEENINDUST</t>
  </si>
  <si>
    <t>VEEMAJANDUSE RAHAVOOGUDE PROGNOOS</t>
  </si>
  <si>
    <t>SISSETULEKUD: TEGEVUSTULUD</t>
  </si>
  <si>
    <t>VÄLJAMINEKUD: TEGEVUSKULUD</t>
  </si>
  <si>
    <t xml:space="preserve">VÄLJAMINEKUD: INVESTEERINGUD </t>
  </si>
  <si>
    <t>RAHAVOOG</t>
  </si>
  <si>
    <t>KUMULATIIVNE RAHAVOOG AL 2024</t>
  </si>
  <si>
    <t>VÄLJAMINEKUD: FINANTSKOHUSTUSED</t>
  </si>
  <si>
    <r>
      <t>MÜÜGIMAHT TEENUSPIIRKONNAS (M</t>
    </r>
    <r>
      <rPr>
        <b/>
        <sz val="11"/>
        <color theme="1"/>
        <rFont val="Calibri"/>
        <family val="2"/>
        <charset val="186"/>
      </rPr>
      <t>³)</t>
    </r>
  </si>
  <si>
    <t>Veetoodang (m3)</t>
  </si>
  <si>
    <t>VEEMAJANDUSTEENUSTE TEGEVUSKULUD KOKKU</t>
  </si>
  <si>
    <t>Käibekapitaliosa (5%) põhjendatud tulususe arvestamiseks</t>
  </si>
  <si>
    <t>MUU VEETEENUSTE TULU</t>
  </si>
  <si>
    <t>VEETEENUSTE PÕHJENDATUD TULUD (KONKURENTSIAMETI METOD.)</t>
  </si>
  <si>
    <r>
      <t>TEENUSTASUD TEENUSPIIRKONDADES m</t>
    </r>
    <r>
      <rPr>
        <b/>
        <sz val="11"/>
        <color theme="1"/>
        <rFont val="Calibri"/>
        <family val="2"/>
        <charset val="186"/>
      </rPr>
      <t>³</t>
    </r>
    <r>
      <rPr>
        <b/>
        <sz val="11"/>
        <color theme="1"/>
        <rFont val="Calibri"/>
        <family val="2"/>
        <charset val="186"/>
        <scheme val="minor"/>
      </rPr>
      <t xml:space="preserve"> kohta käibemaksuta</t>
    </r>
  </si>
  <si>
    <t>PÕHJENDATUD TARIIFITULUD</t>
  </si>
  <si>
    <t>Elanike keskmine ühiktarbimine l/p/in</t>
  </si>
  <si>
    <t>SISSETULEKUD: INVESTEERINGULAENUDE VÕTMINE</t>
  </si>
  <si>
    <t>LAENUKATTEKORDAJA ARVESTUS</t>
  </si>
  <si>
    <t>FINANTSKOHUSTUSTE KATMINE</t>
  </si>
  <si>
    <t>TAPA VESI VEETEENUSTE TEGEVUSKULUDE JA TARIIFIPROGNOOS</t>
  </si>
  <si>
    <t>Tapa prk elanikud</t>
  </si>
  <si>
    <t>Tamsalu prk elanikud</t>
  </si>
  <si>
    <t>Tapa prk jur isikud</t>
  </si>
  <si>
    <t>Tamsalu prk jur isikud</t>
  </si>
  <si>
    <t>Vesi, Tapa prk elanikud</t>
  </si>
  <si>
    <t>Vesi, Tamsalu prk elanikud</t>
  </si>
  <si>
    <t>Vesi, Tapa prk jur isikud</t>
  </si>
  <si>
    <t>Reovesi, Tapa prk elanikud</t>
  </si>
  <si>
    <t>Reovesi, Tamsalu prk elanikud</t>
  </si>
  <si>
    <t>Reovesi, Tapa prk jur isikud</t>
  </si>
  <si>
    <t>Vesi, Tamsalu prk jur isikud</t>
  </si>
  <si>
    <t>Reovesi, Tamsalu prk jur isikud</t>
  </si>
  <si>
    <t>Leibkonnaliikme keskmine sissetulek kuus (Lääne-Viru)</t>
  </si>
  <si>
    <t>IT, administreeirimis- ja kommunikatsiooniteenuste kulud</t>
  </si>
  <si>
    <t>Veeteenustesse arvestatavate kulu- ja põhjendatud tulususkomponentide summa</t>
  </si>
  <si>
    <t>TARIIFIDE TULU, PROGNOOSTULU KOKKU</t>
  </si>
  <si>
    <t>SISSETULEKUD: VEE-ETTEVÕTTE VABADE VAHENDITE KASUTUS</t>
  </si>
  <si>
    <t>Lisa 4. OÜ Tapa Vesi finantsprognoos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</si>
</sst>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%"/>
    <numFmt numFmtId="166" formatCode="0.0"/>
    <numFmt numFmtId="167" formatCode="0.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9" fontId="12" fillId="0" borderId="0" applyFont="0" applyFill="0" applyBorder="0" applyAlignment="0" applyProtection="0"/>
    <xf numFmtId="0" fontId="14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16" fillId="0" borderId="0" xfId="0" applyFont="1" applyFill="1"/>
    <xf numFmtId="0" fontId="0" fillId="0" borderId="0" xfId="0" applyFill="1"/>
    <xf numFmtId="0" fontId="18" fillId="0" borderId="1" xfId="0" applyFont="1" applyFill="1" applyBorder="1"/>
    <xf numFmtId="0" fontId="19" fillId="0" borderId="1" xfId="0" applyFont="1" applyFill="1" applyBorder="1" applyAlignment="1">
      <alignment horizontal="center"/>
    </xf>
    <xf numFmtId="0" fontId="13" fillId="0" borderId="1" xfId="0" applyFont="1" applyFill="1" applyBorder="1"/>
    <xf numFmtId="165" fontId="9" fillId="0" borderId="1" xfId="5" applyNumberFormat="1" applyFont="1" applyFill="1" applyBorder="1" applyAlignment="1">
      <alignment horizontal="center"/>
    </xf>
    <xf numFmtId="165" fontId="8" fillId="0" borderId="1" xfId="3" applyNumberFormat="1" applyFont="1" applyFill="1" applyBorder="1" applyAlignment="1">
      <alignment horizontal="center"/>
    </xf>
    <xf numFmtId="165" fontId="13" fillId="0" borderId="1" xfId="1" applyNumberFormat="1" applyFont="1" applyFill="1" applyBorder="1" applyAlignment="1">
      <alignment horizontal="center"/>
    </xf>
    <xf numFmtId="0" fontId="8" fillId="0" borderId="1" xfId="0" applyFont="1" applyFill="1" applyBorder="1"/>
    <xf numFmtId="2" fontId="8" fillId="0" borderId="1" xfId="0" applyNumberFormat="1" applyFont="1" applyFill="1" applyBorder="1" applyAlignment="1">
      <alignment horizontal="center"/>
    </xf>
    <xf numFmtId="0" fontId="7" fillId="0" borderId="2" xfId="0" applyFont="1" applyFill="1" applyBorder="1"/>
    <xf numFmtId="164" fontId="8" fillId="0" borderId="0" xfId="0" applyNumberFormat="1" applyFont="1" applyFill="1" applyAlignment="1">
      <alignment horizontal="center"/>
    </xf>
    <xf numFmtId="0" fontId="8" fillId="0" borderId="0" xfId="0" applyFont="1" applyFill="1"/>
    <xf numFmtId="0" fontId="9" fillId="0" borderId="1" xfId="0" applyFont="1" applyFill="1" applyBorder="1"/>
    <xf numFmtId="2" fontId="9" fillId="0" borderId="1" xfId="0" applyNumberFormat="1" applyFont="1" applyFill="1" applyBorder="1" applyAlignment="1">
      <alignment horizontal="center"/>
    </xf>
    <xf numFmtId="0" fontId="10" fillId="0" borderId="2" xfId="0" applyFont="1" applyFill="1" applyBorder="1"/>
    <xf numFmtId="0" fontId="15" fillId="0" borderId="0" xfId="0" applyFont="1" applyFill="1"/>
    <xf numFmtId="2" fontId="0" fillId="0" borderId="0" xfId="0" applyNumberFormat="1" applyFill="1"/>
    <xf numFmtId="0" fontId="10" fillId="0" borderId="1" xfId="0" applyFont="1" applyFill="1" applyBorder="1"/>
    <xf numFmtId="1" fontId="10" fillId="0" borderId="1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" fontId="15" fillId="0" borderId="0" xfId="0" applyNumberFormat="1" applyFont="1" applyFill="1"/>
    <xf numFmtId="1" fontId="0" fillId="0" borderId="0" xfId="0" applyNumberFormat="1" applyFill="1"/>
    <xf numFmtId="1" fontId="8" fillId="0" borderId="1" xfId="0" applyNumberFormat="1" applyFont="1" applyFill="1" applyBorder="1" applyAlignment="1">
      <alignment horizontal="center"/>
    </xf>
    <xf numFmtId="0" fontId="8" fillId="0" borderId="2" xfId="0" applyFont="1" applyFill="1" applyBorder="1"/>
    <xf numFmtId="0" fontId="9" fillId="0" borderId="0" xfId="0" applyFont="1" applyFill="1"/>
    <xf numFmtId="1" fontId="9" fillId="0" borderId="0" xfId="0" applyNumberFormat="1" applyFont="1" applyFill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0" xfId="0" applyFont="1" applyFill="1"/>
    <xf numFmtId="1" fontId="7" fillId="0" borderId="0" xfId="0" applyNumberFormat="1" applyFont="1" applyFill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Alignment="1">
      <alignment horizontal="center"/>
    </xf>
    <xf numFmtId="167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0" fontId="16" fillId="0" borderId="1" xfId="0" applyFont="1" applyFill="1" applyBorder="1"/>
    <xf numFmtId="166" fontId="15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2" fontId="15" fillId="0" borderId="1" xfId="0" quotePrefix="1" applyNumberFormat="1" applyFont="1" applyFill="1" applyBorder="1" applyAlignment="1">
      <alignment horizontal="center"/>
    </xf>
    <xf numFmtId="2" fontId="9" fillId="0" borderId="1" xfId="0" quotePrefix="1" applyNumberFormat="1" applyFont="1" applyFill="1" applyBorder="1" applyAlignment="1">
      <alignment horizontal="center"/>
    </xf>
    <xf numFmtId="10" fontId="17" fillId="0" borderId="1" xfId="1" applyNumberFormat="1" applyFont="1" applyFill="1" applyBorder="1" applyAlignment="1">
      <alignment horizontal="center"/>
    </xf>
    <xf numFmtId="10" fontId="7" fillId="0" borderId="1" xfId="1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Fill="1" applyBorder="1"/>
    <xf numFmtId="0" fontId="3" fillId="0" borderId="1" xfId="0" applyFont="1" applyFill="1" applyBorder="1"/>
    <xf numFmtId="1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</cellXfs>
  <cellStyles count="7">
    <cellStyle name="Normaallaad 2" xfId="5" xr:uid="{A4D3E4B3-2970-43DE-B274-E5FAB0131943}"/>
    <cellStyle name="Normaallaad 4" xfId="2" xr:uid="{00000000-0005-0000-0000-000000000000}"/>
    <cellStyle name="Normal" xfId="0" builtinId="0"/>
    <cellStyle name="Normal 2" xfId="3" xr:uid="{00000000-0005-0000-0000-000002000000}"/>
    <cellStyle name="Percent" xfId="1" builtinId="5"/>
    <cellStyle name="Percent 2" xfId="4" xr:uid="{00000000-0005-0000-0000-000004000000}"/>
    <cellStyle name="Protsent 2" xfId="6" xr:uid="{56187100-B403-47A7-B3B7-3149303A88C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A5423-49AE-4E53-ABC3-0B14BA8FF529}">
  <dimension ref="A1:R105"/>
  <sheetViews>
    <sheetView tabSelected="1" zoomScale="91" zoomScaleNormal="91" workbookViewId="0">
      <selection activeCell="E15" sqref="E15"/>
    </sheetView>
  </sheetViews>
  <sheetFormatPr defaultRowHeight="14.5" x14ac:dyDescent="0.35"/>
  <cols>
    <col min="1" max="1" width="66" style="2" customWidth="1"/>
    <col min="2" max="2" width="11.36328125" style="2" customWidth="1"/>
    <col min="3" max="3" width="11.1796875" style="2" customWidth="1"/>
    <col min="4" max="4" width="11" style="2" customWidth="1"/>
    <col min="5" max="5" width="11.54296875" style="2" customWidth="1"/>
    <col min="6" max="6" width="10.6328125" style="2" customWidth="1"/>
    <col min="7" max="7" width="11.90625" style="2" customWidth="1"/>
    <col min="8" max="8" width="11.6328125" style="2" customWidth="1"/>
    <col min="9" max="9" width="11.1796875" style="2" customWidth="1"/>
    <col min="10" max="10" width="12.1796875" style="2" customWidth="1"/>
    <col min="11" max="11" width="12.54296875" style="2" customWidth="1"/>
    <col min="12" max="12" width="12.6328125" style="2" customWidth="1"/>
    <col min="13" max="13" width="11.453125" style="2" customWidth="1"/>
    <col min="14" max="15" width="11.90625" style="2" customWidth="1"/>
    <col min="16" max="16" width="13.1796875" style="2" customWidth="1"/>
    <col min="17" max="17" width="11.1796875" style="2" customWidth="1"/>
    <col min="18" max="18" width="10.1796875" style="2" customWidth="1"/>
    <col min="19" max="19" width="11" style="2" customWidth="1"/>
    <col min="20" max="16384" width="8.7265625" style="2"/>
  </cols>
  <sheetData>
    <row r="1" spans="1:18" x14ac:dyDescent="0.35">
      <c r="A1" s="1" t="s">
        <v>75</v>
      </c>
    </row>
    <row r="3" spans="1:18" x14ac:dyDescent="0.35">
      <c r="A3" s="3" t="s">
        <v>57</v>
      </c>
      <c r="B3" s="4">
        <v>2023</v>
      </c>
      <c r="C3" s="4">
        <f t="shared" ref="C3:P3" si="0">B3+1</f>
        <v>2024</v>
      </c>
      <c r="D3" s="4">
        <f t="shared" si="0"/>
        <v>2025</v>
      </c>
      <c r="E3" s="4">
        <f t="shared" si="0"/>
        <v>2026</v>
      </c>
      <c r="F3" s="4">
        <f t="shared" si="0"/>
        <v>2027</v>
      </c>
      <c r="G3" s="4">
        <f t="shared" si="0"/>
        <v>2028</v>
      </c>
      <c r="H3" s="4">
        <f t="shared" si="0"/>
        <v>2029</v>
      </c>
      <c r="I3" s="4">
        <f t="shared" si="0"/>
        <v>2030</v>
      </c>
      <c r="J3" s="4">
        <f t="shared" si="0"/>
        <v>2031</v>
      </c>
      <c r="K3" s="4">
        <f t="shared" si="0"/>
        <v>2032</v>
      </c>
      <c r="L3" s="4">
        <f t="shared" si="0"/>
        <v>2033</v>
      </c>
      <c r="M3" s="4">
        <f t="shared" si="0"/>
        <v>2034</v>
      </c>
      <c r="N3" s="4">
        <f t="shared" si="0"/>
        <v>2035</v>
      </c>
      <c r="O3" s="4">
        <f t="shared" si="0"/>
        <v>2036</v>
      </c>
      <c r="P3" s="4">
        <f t="shared" si="0"/>
        <v>2037</v>
      </c>
    </row>
    <row r="4" spans="1:18" ht="13.75" customHeight="1" x14ac:dyDescent="0.35">
      <c r="A4" s="5" t="s">
        <v>0</v>
      </c>
      <c r="B4" s="6">
        <v>9.5600000000000004E-2</v>
      </c>
      <c r="C4" s="6">
        <v>3.7999999999999999E-2</v>
      </c>
      <c r="D4" s="7">
        <v>0.05</v>
      </c>
      <c r="E4" s="7">
        <v>3.2000000000000001E-2</v>
      </c>
      <c r="F4" s="7">
        <v>2.3E-2</v>
      </c>
      <c r="G4" s="7">
        <v>2.1999999999999999E-2</v>
      </c>
      <c r="H4" s="7">
        <v>0.02</v>
      </c>
      <c r="I4" s="7">
        <v>0.02</v>
      </c>
      <c r="J4" s="7">
        <v>0.02</v>
      </c>
      <c r="K4" s="7">
        <v>0.02</v>
      </c>
      <c r="L4" s="7">
        <v>0.02</v>
      </c>
      <c r="M4" s="7">
        <v>0.02</v>
      </c>
      <c r="N4" s="7">
        <v>0.02</v>
      </c>
      <c r="O4" s="7">
        <v>0.02</v>
      </c>
      <c r="P4" s="7">
        <v>0.02</v>
      </c>
    </row>
    <row r="5" spans="1:18" ht="0.65" hidden="1" customHeight="1" x14ac:dyDescent="0.35">
      <c r="A5" s="5" t="s">
        <v>2</v>
      </c>
      <c r="B5" s="8">
        <f t="shared" ref="B5:O5" si="1">B4</f>
        <v>9.5600000000000004E-2</v>
      </c>
      <c r="C5" s="8">
        <f t="shared" si="1"/>
        <v>3.7999999999999999E-2</v>
      </c>
      <c r="D5" s="8">
        <f t="shared" si="1"/>
        <v>0.05</v>
      </c>
      <c r="E5" s="8">
        <f t="shared" si="1"/>
        <v>3.2000000000000001E-2</v>
      </c>
      <c r="F5" s="8">
        <f t="shared" si="1"/>
        <v>2.3E-2</v>
      </c>
      <c r="G5" s="8">
        <f t="shared" si="1"/>
        <v>2.1999999999999999E-2</v>
      </c>
      <c r="H5" s="8">
        <f t="shared" si="1"/>
        <v>0.02</v>
      </c>
      <c r="I5" s="8">
        <f t="shared" si="1"/>
        <v>0.02</v>
      </c>
      <c r="J5" s="8">
        <f t="shared" si="1"/>
        <v>0.02</v>
      </c>
      <c r="K5" s="8">
        <f t="shared" si="1"/>
        <v>0.02</v>
      </c>
      <c r="L5" s="8">
        <f t="shared" si="1"/>
        <v>0.02</v>
      </c>
      <c r="M5" s="8">
        <f t="shared" si="1"/>
        <v>0.02</v>
      </c>
      <c r="N5" s="8">
        <f t="shared" si="1"/>
        <v>0.02</v>
      </c>
      <c r="O5" s="8">
        <f t="shared" si="1"/>
        <v>0.02</v>
      </c>
    </row>
    <row r="6" spans="1:18" ht="15.75" hidden="1" customHeight="1" x14ac:dyDescent="0.35">
      <c r="A6" s="9" t="s">
        <v>12</v>
      </c>
      <c r="B6" s="10" t="e">
        <f>#REF!*(1+B4%)</f>
        <v>#REF!</v>
      </c>
      <c r="C6" s="10" t="e">
        <f t="shared" ref="C6:L6" si="2">B6*(1+C4%)</f>
        <v>#REF!</v>
      </c>
      <c r="D6" s="10" t="e">
        <f t="shared" si="2"/>
        <v>#REF!</v>
      </c>
      <c r="E6" s="10" t="e">
        <f t="shared" si="2"/>
        <v>#REF!</v>
      </c>
      <c r="F6" s="10" t="e">
        <f t="shared" si="2"/>
        <v>#REF!</v>
      </c>
      <c r="G6" s="10" t="e">
        <f t="shared" si="2"/>
        <v>#REF!</v>
      </c>
      <c r="H6" s="10" t="e">
        <f t="shared" si="2"/>
        <v>#REF!</v>
      </c>
      <c r="I6" s="10" t="e">
        <f t="shared" si="2"/>
        <v>#REF!</v>
      </c>
      <c r="J6" s="10" t="e">
        <f t="shared" si="2"/>
        <v>#REF!</v>
      </c>
      <c r="K6" s="10" t="e">
        <f t="shared" si="2"/>
        <v>#REF!</v>
      </c>
      <c r="L6" s="10" t="e">
        <f t="shared" si="2"/>
        <v>#REF!</v>
      </c>
    </row>
    <row r="7" spans="1:18" ht="12" customHeight="1" x14ac:dyDescent="0.35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3"/>
    </row>
    <row r="8" spans="1:18" x14ac:dyDescent="0.35">
      <c r="A8" s="14" t="s">
        <v>14</v>
      </c>
      <c r="B8" s="15">
        <f>B16/B13</f>
        <v>0.21490488216180642</v>
      </c>
      <c r="C8" s="15">
        <f t="shared" ref="C8:P8" si="3">B8*(1+C4)</f>
        <v>0.22307126768395508</v>
      </c>
      <c r="D8" s="15">
        <f t="shared" si="3"/>
        <v>0.23422483106815284</v>
      </c>
      <c r="E8" s="15">
        <f t="shared" si="3"/>
        <v>0.24172002566233375</v>
      </c>
      <c r="F8" s="15">
        <f t="shared" si="3"/>
        <v>0.24727958625256741</v>
      </c>
      <c r="G8" s="15">
        <f t="shared" si="3"/>
        <v>0.25271973715012391</v>
      </c>
      <c r="H8" s="15">
        <f t="shared" si="3"/>
        <v>0.25777413189312642</v>
      </c>
      <c r="I8" s="15">
        <f t="shared" si="3"/>
        <v>0.26292961453098895</v>
      </c>
      <c r="J8" s="15">
        <f t="shared" si="3"/>
        <v>0.26818820682160871</v>
      </c>
      <c r="K8" s="15">
        <f t="shared" si="3"/>
        <v>0.2735519709580409</v>
      </c>
      <c r="L8" s="15">
        <f t="shared" si="3"/>
        <v>0.27902301037720173</v>
      </c>
      <c r="M8" s="15">
        <f t="shared" si="3"/>
        <v>0.28460347058474578</v>
      </c>
      <c r="N8" s="15">
        <f t="shared" si="3"/>
        <v>0.2902955399964407</v>
      </c>
      <c r="O8" s="15">
        <f t="shared" si="3"/>
        <v>0.29610145079636951</v>
      </c>
      <c r="P8" s="15">
        <f t="shared" si="3"/>
        <v>0.30202347981229694</v>
      </c>
    </row>
    <row r="9" spans="1:18" x14ac:dyDescent="0.35">
      <c r="A9" s="14" t="s">
        <v>13</v>
      </c>
      <c r="B9" s="15">
        <f>B17/B14</f>
        <v>0.25056005656912245</v>
      </c>
      <c r="C9" s="15">
        <f t="shared" ref="C9:P9" si="4">B9*(1+C4)</f>
        <v>0.26008133871874911</v>
      </c>
      <c r="D9" s="15">
        <f t="shared" si="4"/>
        <v>0.27308540565468659</v>
      </c>
      <c r="E9" s="15">
        <f t="shared" si="4"/>
        <v>0.28182413863563655</v>
      </c>
      <c r="F9" s="15">
        <f t="shared" si="4"/>
        <v>0.28830609382425615</v>
      </c>
      <c r="G9" s="15">
        <f t="shared" si="4"/>
        <v>0.29464882788838981</v>
      </c>
      <c r="H9" s="15">
        <f t="shared" si="4"/>
        <v>0.30054180444615763</v>
      </c>
      <c r="I9" s="15">
        <f t="shared" si="4"/>
        <v>0.3065526405350808</v>
      </c>
      <c r="J9" s="15">
        <f t="shared" si="4"/>
        <v>0.31268369334578244</v>
      </c>
      <c r="K9" s="15">
        <f t="shared" si="4"/>
        <v>0.31893736721269811</v>
      </c>
      <c r="L9" s="15">
        <f t="shared" si="4"/>
        <v>0.32531611455695209</v>
      </c>
      <c r="M9" s="15">
        <f t="shared" si="4"/>
        <v>0.33182243684809115</v>
      </c>
      <c r="N9" s="15">
        <f t="shared" si="4"/>
        <v>0.33845888558505299</v>
      </c>
      <c r="O9" s="15">
        <f t="shared" si="4"/>
        <v>0.34522806329675404</v>
      </c>
      <c r="P9" s="15">
        <f t="shared" si="4"/>
        <v>0.35213262456268912</v>
      </c>
    </row>
    <row r="10" spans="1:18" x14ac:dyDescent="0.35">
      <c r="A10" s="9" t="s">
        <v>1</v>
      </c>
      <c r="B10" s="15">
        <f>B18/B13</f>
        <v>8.5268903761068451E-2</v>
      </c>
      <c r="C10" s="10">
        <f t="shared" ref="C10:D10" si="5">B10*(1+C4)</f>
        <v>8.8509122103989049E-2</v>
      </c>
      <c r="D10" s="10">
        <f t="shared" si="5"/>
        <v>9.2934578209188504E-2</v>
      </c>
      <c r="E10" s="10">
        <f t="shared" ref="E10" si="6">D10*(1+E4)</f>
        <v>9.5908484711882541E-2</v>
      </c>
      <c r="F10" s="10">
        <f t="shared" ref="F10" si="7">E10*(1+F4)</f>
        <v>9.8114379860255826E-2</v>
      </c>
      <c r="G10" s="10">
        <f t="shared" ref="G10" si="8">F10*(1+G4)</f>
        <v>0.10027289621718145</v>
      </c>
      <c r="H10" s="10">
        <f t="shared" ref="H10" si="9">G10*(1+H4)</f>
        <v>0.10227835414152509</v>
      </c>
      <c r="I10" s="10">
        <f t="shared" ref="I10:P10" si="10">H10*(1+I4)</f>
        <v>0.10432392122435559</v>
      </c>
      <c r="J10" s="10">
        <f t="shared" si="10"/>
        <v>0.1064103996488427</v>
      </c>
      <c r="K10" s="10">
        <f t="shared" si="10"/>
        <v>0.10853860764181956</v>
      </c>
      <c r="L10" s="10">
        <f t="shared" si="10"/>
        <v>0.11070937979465596</v>
      </c>
      <c r="M10" s="10">
        <f t="shared" si="10"/>
        <v>0.11292356739054908</v>
      </c>
      <c r="N10" s="10">
        <f t="shared" si="10"/>
        <v>0.11518203873836007</v>
      </c>
      <c r="O10" s="10">
        <f t="shared" si="10"/>
        <v>0.11748567951312727</v>
      </c>
      <c r="P10" s="10">
        <f t="shared" si="10"/>
        <v>0.11983539310338982</v>
      </c>
    </row>
    <row r="11" spans="1:18" x14ac:dyDescent="0.35">
      <c r="A11" s="9" t="s">
        <v>7</v>
      </c>
      <c r="B11" s="15">
        <f>B19/B14</f>
        <v>5.2766860658960614E-2</v>
      </c>
      <c r="C11" s="10">
        <f t="shared" ref="C11:E11" si="11">B11*1.106</f>
        <v>5.8360147888810443E-2</v>
      </c>
      <c r="D11" s="10">
        <f t="shared" si="11"/>
        <v>6.4546323565024349E-2</v>
      </c>
      <c r="E11" s="10">
        <f t="shared" si="11"/>
        <v>7.1388233862916942E-2</v>
      </c>
      <c r="F11" s="10">
        <f>E11*1.106</f>
        <v>7.8955386652386148E-2</v>
      </c>
      <c r="G11" s="10">
        <f t="shared" ref="G11:P11" si="12">F11*(1+G4)</f>
        <v>8.0692405158738642E-2</v>
      </c>
      <c r="H11" s="10">
        <f t="shared" si="12"/>
        <v>8.2306253261913417E-2</v>
      </c>
      <c r="I11" s="10">
        <f t="shared" si="12"/>
        <v>8.3952378327151689E-2</v>
      </c>
      <c r="J11" s="10">
        <f t="shared" si="12"/>
        <v>8.5631425893694726E-2</v>
      </c>
      <c r="K11" s="10">
        <f t="shared" si="12"/>
        <v>8.7344054411568617E-2</v>
      </c>
      <c r="L11" s="10">
        <f t="shared" si="12"/>
        <v>8.9090935499799989E-2</v>
      </c>
      <c r="M11" s="10">
        <f t="shared" si="12"/>
        <v>9.0872754209795986E-2</v>
      </c>
      <c r="N11" s="10">
        <f t="shared" si="12"/>
        <v>9.269020929399191E-2</v>
      </c>
      <c r="O11" s="10">
        <f t="shared" si="12"/>
        <v>9.454401347987175E-2</v>
      </c>
      <c r="P11" s="10">
        <f t="shared" si="12"/>
        <v>9.6434893749469189E-2</v>
      </c>
    </row>
    <row r="12" spans="1:18" x14ac:dyDescent="0.35">
      <c r="A12" s="16" t="s">
        <v>3</v>
      </c>
      <c r="B12" s="17"/>
      <c r="C12" s="13"/>
      <c r="D12" s="13"/>
      <c r="E12" s="13"/>
      <c r="F12" s="13"/>
      <c r="G12" s="13"/>
      <c r="H12" s="13"/>
      <c r="I12" s="13"/>
      <c r="J12" s="13"/>
      <c r="K12" s="13"/>
      <c r="L12" s="13"/>
      <c r="R12" s="18"/>
    </row>
    <row r="13" spans="1:18" x14ac:dyDescent="0.35">
      <c r="A13" s="19" t="s">
        <v>46</v>
      </c>
      <c r="B13" s="20">
        <v>531846.875</v>
      </c>
      <c r="C13" s="21">
        <v>532413.28201909992</v>
      </c>
      <c r="D13" s="21">
        <v>531782.63985489123</v>
      </c>
      <c r="E13" s="21">
        <v>530042.49284973613</v>
      </c>
      <c r="F13" s="21">
        <v>531400.6992376789</v>
      </c>
      <c r="G13" s="21">
        <v>522167.46705279977</v>
      </c>
      <c r="H13" s="21">
        <v>514255.08862397994</v>
      </c>
      <c r="I13" s="21">
        <v>512675.26609718904</v>
      </c>
      <c r="J13" s="21">
        <v>511173.97276032611</v>
      </c>
      <c r="K13" s="21">
        <v>509718.87306459784</v>
      </c>
      <c r="L13" s="21">
        <v>508286.87018943648</v>
      </c>
      <c r="M13" s="21">
        <v>506901.06095540948</v>
      </c>
      <c r="N13" s="21">
        <v>505552.20663428959</v>
      </c>
      <c r="O13" s="21">
        <v>504254.16531841765</v>
      </c>
      <c r="P13" s="21">
        <v>502960.74336665892</v>
      </c>
      <c r="Q13" s="18"/>
      <c r="R13" s="18"/>
    </row>
    <row r="14" spans="1:18" x14ac:dyDescent="0.35">
      <c r="A14" s="19" t="s">
        <v>27</v>
      </c>
      <c r="B14" s="20">
        <v>629940.83000000007</v>
      </c>
      <c r="C14" s="21">
        <v>614261.2679217878</v>
      </c>
      <c r="D14" s="21">
        <v>612712.65117657732</v>
      </c>
      <c r="E14" s="21">
        <v>602447.70200386329</v>
      </c>
      <c r="F14" s="21">
        <v>600474.41326800745</v>
      </c>
      <c r="G14" s="21">
        <v>591210.82484372787</v>
      </c>
      <c r="H14" s="21">
        <v>589308.26832496736</v>
      </c>
      <c r="I14" s="21">
        <v>581897.26018806302</v>
      </c>
      <c r="J14" s="21">
        <v>580206.24978214724</v>
      </c>
      <c r="K14" s="21">
        <v>574650.0273572579</v>
      </c>
      <c r="L14" s="21">
        <v>573055.1925079443</v>
      </c>
      <c r="M14" s="21">
        <v>567879.39425354719</v>
      </c>
      <c r="N14" s="21">
        <v>566393.14285678696</v>
      </c>
      <c r="O14" s="21">
        <v>561585.79444788408</v>
      </c>
      <c r="P14" s="21">
        <v>560174.99226436985</v>
      </c>
    </row>
    <row r="15" spans="1:18" x14ac:dyDescent="0.35">
      <c r="A15" s="11" t="s">
        <v>4</v>
      </c>
      <c r="B15" s="22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8" x14ac:dyDescent="0.35">
      <c r="A16" s="14" t="s">
        <v>14</v>
      </c>
      <c r="B16" s="21">
        <f>0.42*272134.5</f>
        <v>114296.48999999999</v>
      </c>
      <c r="C16" s="21">
        <f t="shared" ref="C16:D16" si="13">C8*C13</f>
        <v>118766.1057517757</v>
      </c>
      <c r="D16" s="21">
        <f t="shared" si="13"/>
        <v>124556.69898498825</v>
      </c>
      <c r="E16" s="21">
        <f t="shared" ref="E16:O16" si="14">E8*E13</f>
        <v>128121.88497376557</v>
      </c>
      <c r="F16" s="21">
        <f t="shared" si="14"/>
        <v>131404.54504181826</v>
      </c>
      <c r="G16" s="21">
        <f t="shared" si="14"/>
        <v>131962.02502192956</v>
      </c>
      <c r="H16" s="21">
        <f t="shared" si="14"/>
        <v>132561.65904166922</v>
      </c>
      <c r="I16" s="21">
        <f t="shared" si="14"/>
        <v>134797.51009450611</v>
      </c>
      <c r="J16" s="21">
        <f t="shared" si="14"/>
        <v>137090.83112846973</v>
      </c>
      <c r="K16" s="21">
        <f t="shared" si="14"/>
        <v>139434.60236133222</v>
      </c>
      <c r="L16" s="21">
        <f t="shared" si="14"/>
        <v>141823.73265546252</v>
      </c>
      <c r="M16" s="21">
        <f t="shared" si="14"/>
        <v>144265.80119099931</v>
      </c>
      <c r="N16" s="21">
        <f t="shared" si="14"/>
        <v>146759.55082129326</v>
      </c>
      <c r="O16" s="21">
        <f t="shared" si="14"/>
        <v>149310.38992089583</v>
      </c>
      <c r="P16" s="21">
        <f t="shared" ref="P16" si="15">P8*P13</f>
        <v>151905.95392057797</v>
      </c>
    </row>
    <row r="17" spans="1:18" x14ac:dyDescent="0.35">
      <c r="A17" s="14" t="s">
        <v>13</v>
      </c>
      <c r="B17" s="21">
        <f>0.58*272134.5</f>
        <v>157838.00999999998</v>
      </c>
      <c r="C17" s="21">
        <f t="shared" ref="C17:D17" si="16">C9*C14</f>
        <v>159757.8928841748</v>
      </c>
      <c r="D17" s="21">
        <f t="shared" si="16"/>
        <v>167322.88289631408</v>
      </c>
      <c r="E17" s="21">
        <f t="shared" ref="E17:O17" si="17">E9*E14</f>
        <v>169784.30469025741</v>
      </c>
      <c r="F17" s="21">
        <f t="shared" si="17"/>
        <v>173120.43253071132</v>
      </c>
      <c r="G17" s="21">
        <f t="shared" si="17"/>
        <v>174199.57657513255</v>
      </c>
      <c r="H17" s="21">
        <f t="shared" si="17"/>
        <v>177111.77033742613</v>
      </c>
      <c r="I17" s="21">
        <f t="shared" si="17"/>
        <v>178382.14163077966</v>
      </c>
      <c r="J17" s="21">
        <f t="shared" si="17"/>
        <v>181421.03308418737</v>
      </c>
      <c r="K17" s="21">
        <f t="shared" si="17"/>
        <v>183277.36679402879</v>
      </c>
      <c r="L17" s="21">
        <f t="shared" si="17"/>
        <v>186424.08865337065</v>
      </c>
      <c r="M17" s="21">
        <f t="shared" si="17"/>
        <v>188435.12443702991</v>
      </c>
      <c r="N17" s="21">
        <f t="shared" si="17"/>
        <v>191700.79193432385</v>
      </c>
      <c r="O17" s="21">
        <f t="shared" si="17"/>
        <v>193875.17619221203</v>
      </c>
      <c r="P17" s="21">
        <f t="shared" ref="P17" si="18">P9*P14</f>
        <v>197255.89024043662</v>
      </c>
      <c r="R17" s="23"/>
    </row>
    <row r="18" spans="1:18" x14ac:dyDescent="0.35">
      <c r="A18" s="9" t="s">
        <v>1</v>
      </c>
      <c r="B18" s="21">
        <v>45350</v>
      </c>
      <c r="C18" s="24">
        <f t="shared" ref="C18:O18" si="19">C13*C10</f>
        <v>47123.432188014071</v>
      </c>
      <c r="D18" s="24">
        <f t="shared" si="19"/>
        <v>49420.995333883111</v>
      </c>
      <c r="E18" s="24">
        <f t="shared" si="19"/>
        <v>50835.572322127031</v>
      </c>
      <c r="F18" s="24">
        <f t="shared" si="19"/>
        <v>52138.050063011186</v>
      </c>
      <c r="G18" s="24">
        <f t="shared" si="19"/>
        <v>52359.244231773904</v>
      </c>
      <c r="H18" s="24">
        <f t="shared" si="19"/>
        <v>52597.164073364787</v>
      </c>
      <c r="I18" s="24">
        <f t="shared" si="19"/>
        <v>53484.294073998688</v>
      </c>
      <c r="J18" s="24">
        <f t="shared" si="19"/>
        <v>54394.226731512936</v>
      </c>
      <c r="K18" s="24">
        <f t="shared" si="19"/>
        <v>55324.176771188817</v>
      </c>
      <c r="L18" s="24">
        <f t="shared" si="19"/>
        <v>56272.12415643932</v>
      </c>
      <c r="M18" s="24">
        <f t="shared" si="19"/>
        <v>57241.076117139011</v>
      </c>
      <c r="N18" s="24">
        <f t="shared" si="19"/>
        <v>58230.533848814157</v>
      </c>
      <c r="O18" s="24">
        <f t="shared" si="19"/>
        <v>59242.643259759112</v>
      </c>
      <c r="P18" s="24">
        <f t="shared" ref="P18" si="20">P13*P10</f>
        <v>60272.498396916737</v>
      </c>
    </row>
    <row r="19" spans="1:18" x14ac:dyDescent="0.35">
      <c r="A19" s="9" t="s">
        <v>7</v>
      </c>
      <c r="B19" s="21">
        <v>33240</v>
      </c>
      <c r="C19" s="24">
        <f t="shared" ref="C19:O19" si="21">C11*C14</f>
        <v>35848.378438283748</v>
      </c>
      <c r="D19" s="24">
        <f t="shared" si="21"/>
        <v>39548.349035227257</v>
      </c>
      <c r="E19" s="24">
        <f t="shared" si="21"/>
        <v>43007.677440828687</v>
      </c>
      <c r="F19" s="24">
        <f t="shared" si="21"/>
        <v>47410.689474440238</v>
      </c>
      <c r="G19" s="24">
        <f t="shared" si="21"/>
        <v>47706.223412522151</v>
      </c>
      <c r="H19" s="24">
        <f t="shared" si="21"/>
        <v>48503.755582094389</v>
      </c>
      <c r="I19" s="24">
        <f t="shared" si="21"/>
        <v>48851.658934841289</v>
      </c>
      <c r="J19" s="24">
        <f t="shared" si="21"/>
        <v>49683.888481278475</v>
      </c>
      <c r="K19" s="24">
        <f t="shared" si="21"/>
        <v>50192.263257101731</v>
      </c>
      <c r="L19" s="24">
        <f t="shared" si="21"/>
        <v>51054.023193550733</v>
      </c>
      <c r="M19" s="24">
        <f t="shared" si="21"/>
        <v>51604.764614810425</v>
      </c>
      <c r="N19" s="24">
        <f t="shared" si="21"/>
        <v>52499.098954077439</v>
      </c>
      <c r="O19" s="24">
        <f t="shared" si="21"/>
        <v>53094.574920385239</v>
      </c>
      <c r="P19" s="24">
        <f t="shared" ref="P19" si="22">P11*P14</f>
        <v>54020.415860124231</v>
      </c>
    </row>
    <row r="20" spans="1:18" x14ac:dyDescent="0.35">
      <c r="A20" s="11" t="s">
        <v>5</v>
      </c>
      <c r="B20" s="17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8" x14ac:dyDescent="0.35">
      <c r="A21" s="9" t="s">
        <v>6</v>
      </c>
      <c r="B21" s="21">
        <v>366291.7</v>
      </c>
      <c r="C21" s="24">
        <f t="shared" ref="C21:P21" si="23">B21*(1+C5)</f>
        <v>380210.78460000001</v>
      </c>
      <c r="D21" s="24">
        <f t="shared" si="23"/>
        <v>399221.32383000001</v>
      </c>
      <c r="E21" s="24">
        <f t="shared" si="23"/>
        <v>411996.40619256004</v>
      </c>
      <c r="F21" s="24">
        <f t="shared" si="23"/>
        <v>421472.32353498886</v>
      </c>
      <c r="G21" s="24">
        <f t="shared" si="23"/>
        <v>430744.71465275862</v>
      </c>
      <c r="H21" s="24">
        <f t="shared" si="23"/>
        <v>439359.60894581379</v>
      </c>
      <c r="I21" s="24">
        <f t="shared" si="23"/>
        <v>448146.80112473009</v>
      </c>
      <c r="J21" s="24">
        <f t="shared" si="23"/>
        <v>457109.73714722472</v>
      </c>
      <c r="K21" s="24">
        <f t="shared" si="23"/>
        <v>466251.93189016922</v>
      </c>
      <c r="L21" s="24">
        <f t="shared" si="23"/>
        <v>475576.97052797262</v>
      </c>
      <c r="M21" s="24">
        <f t="shared" si="23"/>
        <v>485088.50993853208</v>
      </c>
      <c r="N21" s="24">
        <f>M21*(1+N5)</f>
        <v>494790.2801373027</v>
      </c>
      <c r="O21" s="24">
        <f>N21*(1+O5)*0.91</f>
        <v>459264.3380234444</v>
      </c>
      <c r="P21" s="24">
        <f t="shared" si="23"/>
        <v>459264.3380234444</v>
      </c>
    </row>
    <row r="22" spans="1:18" x14ac:dyDescent="0.35">
      <c r="A22" s="9" t="s">
        <v>32</v>
      </c>
      <c r="B22" s="21">
        <f>224458*0.42</f>
        <v>94272.36</v>
      </c>
      <c r="C22" s="21">
        <f>205689*0.42</f>
        <v>86389.37999999999</v>
      </c>
      <c r="D22" s="24">
        <f t="shared" ref="D22:N22" si="24">C22*(1+D4)</f>
        <v>90708.848999999987</v>
      </c>
      <c r="E22" s="24">
        <f t="shared" si="24"/>
        <v>93611.532167999991</v>
      </c>
      <c r="F22" s="24">
        <f t="shared" si="24"/>
        <v>95764.597407863985</v>
      </c>
      <c r="G22" s="24">
        <f t="shared" si="24"/>
        <v>97871.418550836999</v>
      </c>
      <c r="H22" s="24">
        <f t="shared" si="24"/>
        <v>99828.846921853736</v>
      </c>
      <c r="I22" s="24">
        <f t="shared" si="24"/>
        <v>101825.42386029082</v>
      </c>
      <c r="J22" s="24">
        <f t="shared" si="24"/>
        <v>103861.93233749663</v>
      </c>
      <c r="K22" s="24">
        <f t="shared" si="24"/>
        <v>105939.17098424656</v>
      </c>
      <c r="L22" s="24">
        <f t="shared" si="24"/>
        <v>108057.95440393149</v>
      </c>
      <c r="M22" s="24">
        <f t="shared" si="24"/>
        <v>110219.11349201013</v>
      </c>
      <c r="N22" s="24">
        <f t="shared" si="24"/>
        <v>112423.49576185034</v>
      </c>
      <c r="O22" s="24">
        <f>N22*(1+O4)</f>
        <v>114671.96567708736</v>
      </c>
      <c r="P22" s="24">
        <f>O22*(1+P4)</f>
        <v>116965.4049906291</v>
      </c>
    </row>
    <row r="23" spans="1:18" x14ac:dyDescent="0.35">
      <c r="A23" s="9" t="s">
        <v>33</v>
      </c>
      <c r="B23" s="21">
        <f>224458*0.58</f>
        <v>130185.63999999998</v>
      </c>
      <c r="C23" s="21">
        <f>205689*0.58</f>
        <v>119299.62</v>
      </c>
      <c r="D23" s="24">
        <f>C23*(1+D4)</f>
        <v>125264.601</v>
      </c>
      <c r="E23" s="24">
        <f>D23*(1+E4)</f>
        <v>129273.06823200001</v>
      </c>
      <c r="F23" s="24">
        <f>E23*(1+F4)</f>
        <v>132246.34880133599</v>
      </c>
      <c r="G23" s="24">
        <f>F23*(1+G4)</f>
        <v>135155.76847496539</v>
      </c>
      <c r="H23" s="24">
        <f>G23*(1+H5)</f>
        <v>137858.8838444647</v>
      </c>
      <c r="I23" s="24">
        <f t="shared" ref="I23:P23" si="25">H23*(1+I4)</f>
        <v>140616.06152135399</v>
      </c>
      <c r="J23" s="24">
        <f t="shared" si="25"/>
        <v>143428.38275178106</v>
      </c>
      <c r="K23" s="24">
        <f t="shared" si="25"/>
        <v>146296.95040681667</v>
      </c>
      <c r="L23" s="24">
        <f t="shared" si="25"/>
        <v>149222.88941495301</v>
      </c>
      <c r="M23" s="24">
        <f t="shared" si="25"/>
        <v>152207.34720325208</v>
      </c>
      <c r="N23" s="24">
        <f>M23*(1+N4)</f>
        <v>155251.49414731713</v>
      </c>
      <c r="O23" s="24">
        <f>N23*(1+O4)*0.9</f>
        <v>142520.87162723712</v>
      </c>
      <c r="P23" s="24">
        <f t="shared" si="25"/>
        <v>145371.28905978188</v>
      </c>
    </row>
    <row r="24" spans="1:18" x14ac:dyDescent="0.35">
      <c r="A24" s="9" t="s">
        <v>71</v>
      </c>
      <c r="B24" s="21">
        <v>66365.5</v>
      </c>
      <c r="C24" s="24">
        <v>50491</v>
      </c>
      <c r="D24" s="24">
        <f t="shared" ref="D24:P24" si="26">C24*(1+D4)</f>
        <v>53015.55</v>
      </c>
      <c r="E24" s="24">
        <f t="shared" si="26"/>
        <v>54712.047600000005</v>
      </c>
      <c r="F24" s="24">
        <f t="shared" si="26"/>
        <v>55970.4246948</v>
      </c>
      <c r="G24" s="24">
        <f t="shared" si="26"/>
        <v>57201.774038085598</v>
      </c>
      <c r="H24" s="24">
        <f t="shared" si="26"/>
        <v>58345.809518847309</v>
      </c>
      <c r="I24" s="24">
        <f t="shared" si="26"/>
        <v>59512.725709224258</v>
      </c>
      <c r="J24" s="24">
        <f t="shared" si="26"/>
        <v>60702.980223408747</v>
      </c>
      <c r="K24" s="24">
        <f t="shared" si="26"/>
        <v>61917.039827876921</v>
      </c>
      <c r="L24" s="24">
        <f t="shared" si="26"/>
        <v>63155.38062443446</v>
      </c>
      <c r="M24" s="24">
        <f t="shared" si="26"/>
        <v>64418.488236923149</v>
      </c>
      <c r="N24" s="24">
        <f t="shared" si="26"/>
        <v>65706.858001661618</v>
      </c>
      <c r="O24" s="24">
        <f t="shared" si="26"/>
        <v>67020.995161694853</v>
      </c>
      <c r="P24" s="24">
        <f t="shared" si="26"/>
        <v>68361.415064928748</v>
      </c>
    </row>
    <row r="25" spans="1:18" x14ac:dyDescent="0.35">
      <c r="A25" s="9" t="s">
        <v>31</v>
      </c>
      <c r="B25" s="21">
        <v>29624.34</v>
      </c>
      <c r="C25" s="24">
        <v>48855</v>
      </c>
      <c r="D25" s="24">
        <f t="shared" ref="D25:P25" si="27">C25*(1+D4)</f>
        <v>51297.75</v>
      </c>
      <c r="E25" s="24">
        <f t="shared" si="27"/>
        <v>52939.277999999998</v>
      </c>
      <c r="F25" s="24">
        <f t="shared" si="27"/>
        <v>54156.881393999996</v>
      </c>
      <c r="G25" s="24">
        <f t="shared" si="27"/>
        <v>55348.332784667997</v>
      </c>
      <c r="H25" s="24">
        <f t="shared" si="27"/>
        <v>56455.299440361356</v>
      </c>
      <c r="I25" s="24">
        <f t="shared" si="27"/>
        <v>57584.405429168582</v>
      </c>
      <c r="J25" s="24">
        <f t="shared" si="27"/>
        <v>58736.093537751956</v>
      </c>
      <c r="K25" s="24">
        <f t="shared" si="27"/>
        <v>59910.815408506998</v>
      </c>
      <c r="L25" s="24">
        <f t="shared" si="27"/>
        <v>61109.031716677142</v>
      </c>
      <c r="M25" s="24">
        <f t="shared" si="27"/>
        <v>62331.212351010683</v>
      </c>
      <c r="N25" s="24">
        <f t="shared" si="27"/>
        <v>63577.836598030895</v>
      </c>
      <c r="O25" s="24">
        <f t="shared" si="27"/>
        <v>64849.393329991515</v>
      </c>
      <c r="P25" s="24">
        <f t="shared" si="27"/>
        <v>66146.381196591348</v>
      </c>
    </row>
    <row r="26" spans="1:18" x14ac:dyDescent="0.35">
      <c r="A26" s="14" t="s">
        <v>15</v>
      </c>
      <c r="B26" s="21">
        <v>3988.75</v>
      </c>
      <c r="C26" s="21">
        <v>101384</v>
      </c>
      <c r="D26" s="21">
        <f t="shared" ref="D26:P26" si="28">C26*(1+D4)</f>
        <v>106453.20000000001</v>
      </c>
      <c r="E26" s="21">
        <f t="shared" si="28"/>
        <v>109859.70240000001</v>
      </c>
      <c r="F26" s="21">
        <f t="shared" si="28"/>
        <v>112386.4755552</v>
      </c>
      <c r="G26" s="21">
        <f t="shared" si="28"/>
        <v>114858.9780174144</v>
      </c>
      <c r="H26" s="21">
        <f t="shared" si="28"/>
        <v>117156.15757776269</v>
      </c>
      <c r="I26" s="21">
        <f t="shared" si="28"/>
        <v>119499.28072931794</v>
      </c>
      <c r="J26" s="21">
        <f t="shared" si="28"/>
        <v>121889.2663439043</v>
      </c>
      <c r="K26" s="21">
        <f t="shared" si="28"/>
        <v>124327.05167078238</v>
      </c>
      <c r="L26" s="21">
        <f t="shared" si="28"/>
        <v>126813.59270419803</v>
      </c>
      <c r="M26" s="21">
        <f t="shared" si="28"/>
        <v>129349.86455828199</v>
      </c>
      <c r="N26" s="21">
        <f t="shared" si="28"/>
        <v>131936.86184944762</v>
      </c>
      <c r="O26" s="21">
        <f t="shared" si="28"/>
        <v>134575.59908643659</v>
      </c>
      <c r="P26" s="21">
        <f t="shared" si="28"/>
        <v>137267.11106816534</v>
      </c>
    </row>
    <row r="27" spans="1:18" ht="8.25" customHeight="1" x14ac:dyDescent="0.35">
      <c r="A27" s="25"/>
      <c r="B27" s="17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18" x14ac:dyDescent="0.35">
      <c r="A28" s="19" t="s">
        <v>47</v>
      </c>
      <c r="B28" s="20">
        <f t="shared" ref="B28:P28" si="29">SUM(B16:B19)+SUM(B21:B26)</f>
        <v>1041452.7899999999</v>
      </c>
      <c r="C28" s="20">
        <f t="shared" si="29"/>
        <v>1148125.5938622484</v>
      </c>
      <c r="D28" s="20">
        <f t="shared" si="29"/>
        <v>1206810.2000804129</v>
      </c>
      <c r="E28" s="20">
        <f t="shared" si="29"/>
        <v>1244141.4740195391</v>
      </c>
      <c r="F28" s="20">
        <f t="shared" si="29"/>
        <v>1276070.76849817</v>
      </c>
      <c r="G28" s="20">
        <f t="shared" si="29"/>
        <v>1297408.0557600872</v>
      </c>
      <c r="H28" s="20">
        <f t="shared" si="29"/>
        <v>1319778.9552836581</v>
      </c>
      <c r="I28" s="20">
        <f t="shared" si="29"/>
        <v>1342700.3031082116</v>
      </c>
      <c r="J28" s="20">
        <f t="shared" si="29"/>
        <v>1368318.3717670159</v>
      </c>
      <c r="K28" s="20">
        <f t="shared" si="29"/>
        <v>1392871.3693720503</v>
      </c>
      <c r="L28" s="20">
        <f t="shared" si="29"/>
        <v>1419509.7880509901</v>
      </c>
      <c r="M28" s="20">
        <f t="shared" si="29"/>
        <v>1445161.3021399886</v>
      </c>
      <c r="N28" s="20">
        <f t="shared" si="29"/>
        <v>1472876.8020541191</v>
      </c>
      <c r="O28" s="20">
        <f t="shared" si="29"/>
        <v>1438425.9471991439</v>
      </c>
      <c r="P28" s="20">
        <f t="shared" si="29"/>
        <v>1456830.6978215962</v>
      </c>
      <c r="R28" s="23"/>
    </row>
    <row r="30" spans="1:18" x14ac:dyDescent="0.35">
      <c r="A30" s="19" t="s">
        <v>34</v>
      </c>
      <c r="B30" s="20">
        <v>146029</v>
      </c>
      <c r="C30" s="20">
        <f t="shared" ref="C30" si="30">B30</f>
        <v>146029</v>
      </c>
      <c r="D30" s="20">
        <v>146029</v>
      </c>
      <c r="E30" s="20">
        <v>154255.75</v>
      </c>
      <c r="F30" s="20">
        <v>158649.38680000001</v>
      </c>
      <c r="G30" s="20">
        <v>170290.76347000001</v>
      </c>
      <c r="H30" s="20">
        <v>172907.786266696</v>
      </c>
      <c r="I30" s="20">
        <v>172907.786266696</v>
      </c>
      <c r="J30" s="20">
        <v>177686.48845053365</v>
      </c>
      <c r="K30" s="20">
        <v>177686.48845053365</v>
      </c>
      <c r="L30" s="20">
        <v>186983.91532649889</v>
      </c>
      <c r="M30" s="20">
        <v>186983.91532649889</v>
      </c>
      <c r="N30" s="20">
        <v>186983.91532649889</v>
      </c>
      <c r="O30" s="20">
        <v>247023.24108342867</v>
      </c>
      <c r="P30" s="20">
        <v>247023.24108342867</v>
      </c>
    </row>
    <row r="31" spans="1:18" x14ac:dyDescent="0.35">
      <c r="A31" s="19" t="s">
        <v>36</v>
      </c>
      <c r="B31" s="20">
        <v>3459457</v>
      </c>
      <c r="C31" s="20">
        <v>3313428</v>
      </c>
      <c r="D31" s="20">
        <v>3443969</v>
      </c>
      <c r="E31" s="20">
        <v>3385633.5219999999</v>
      </c>
      <c r="F31" s="20">
        <v>3620244.2472000001</v>
      </c>
      <c r="G31" s="20">
        <v>3554634.3955978402</v>
      </c>
      <c r="H31" s="20">
        <v>3381726.609331144</v>
      </c>
      <c r="I31" s="20">
        <v>3340948.8373641064</v>
      </c>
      <c r="J31" s="20">
        <v>3163262.3489135727</v>
      </c>
      <c r="K31" s="20">
        <v>3165913.8817640888</v>
      </c>
      <c r="L31" s="20">
        <v>2978929.9664375898</v>
      </c>
      <c r="M31" s="20">
        <v>2791946.0511110909</v>
      </c>
      <c r="N31" s="20">
        <v>4398830.4139176263</v>
      </c>
      <c r="O31" s="20">
        <v>4151807.1728341975</v>
      </c>
      <c r="P31" s="20">
        <v>4371094.2761745946</v>
      </c>
    </row>
    <row r="32" spans="1:18" x14ac:dyDescent="0.35">
      <c r="A32" s="14" t="s">
        <v>48</v>
      </c>
      <c r="B32" s="21">
        <f>(1049+1056+1081)*1000/3*0.05</f>
        <v>53100</v>
      </c>
      <c r="C32" s="21">
        <f>(1056+1081+(B59+B61)/1000)*1000/3*0.05</f>
        <v>55670.387666666662</v>
      </c>
      <c r="D32" s="21">
        <f>(1081+(B59+59)/1000+(C59+C61)/1000)*1000/3*0.05</f>
        <v>58135.50652817887</v>
      </c>
      <c r="E32" s="21">
        <f>(B59+B61+C59+C61+D59+D61)/3*0.05</f>
        <v>60837.634793040546</v>
      </c>
      <c r="F32" s="21">
        <f t="shared" ref="F32:P32" si="31">(C59+C61+D59+D61+E59+E61)/3*0.05</f>
        <v>67634.170911383684</v>
      </c>
      <c r="G32" s="21">
        <f t="shared" si="31"/>
        <v>74932.872404234498</v>
      </c>
      <c r="H32" s="21">
        <f t="shared" si="31"/>
        <v>82733.6130771155</v>
      </c>
      <c r="I32" s="21">
        <f t="shared" si="31"/>
        <v>84301.016833819507</v>
      </c>
      <c r="J32" s="21">
        <f t="shared" si="31"/>
        <v>85356.821414993901</v>
      </c>
      <c r="K32" s="21">
        <f t="shared" si="31"/>
        <v>86252.274975389024</v>
      </c>
      <c r="L32" s="21">
        <f t="shared" si="31"/>
        <v>87324.230006529717</v>
      </c>
      <c r="M32" s="21">
        <f t="shared" si="31"/>
        <v>88460.089439025716</v>
      </c>
      <c r="N32" s="21">
        <f t="shared" si="31"/>
        <v>89507.119043674291</v>
      </c>
      <c r="O32" s="21">
        <f t="shared" si="31"/>
        <v>92285.961650967496</v>
      </c>
      <c r="P32" s="21">
        <f t="shared" si="31"/>
        <v>94829.495931744692</v>
      </c>
    </row>
    <row r="33" spans="1:16" x14ac:dyDescent="0.35">
      <c r="A33" s="14" t="s">
        <v>35</v>
      </c>
      <c r="B33" s="21">
        <f>0.0628*(B31+B32)</f>
        <v>220588.57959999997</v>
      </c>
      <c r="C33" s="21">
        <f>0.0628*(C31+C32)</f>
        <v>211579.37874546667</v>
      </c>
      <c r="D33" s="21">
        <f>0.0628*(D31+D32)</f>
        <v>219932.1630099696</v>
      </c>
      <c r="E33" s="21">
        <f t="shared" ref="E33:O33" si="32">0.0628*E31</f>
        <v>212617.78518159996</v>
      </c>
      <c r="F33" s="21">
        <f t="shared" si="32"/>
        <v>227351.33872415998</v>
      </c>
      <c r="G33" s="21">
        <f t="shared" si="32"/>
        <v>223231.04004354434</v>
      </c>
      <c r="H33" s="21">
        <f t="shared" si="32"/>
        <v>212372.43106599583</v>
      </c>
      <c r="I33" s="21">
        <f t="shared" si="32"/>
        <v>209811.58698646587</v>
      </c>
      <c r="J33" s="21">
        <f t="shared" si="32"/>
        <v>198652.87551177235</v>
      </c>
      <c r="K33" s="21">
        <f t="shared" si="32"/>
        <v>198819.39177478474</v>
      </c>
      <c r="L33" s="21">
        <f t="shared" si="32"/>
        <v>187076.80189228064</v>
      </c>
      <c r="M33" s="21">
        <f t="shared" si="32"/>
        <v>175334.2120097765</v>
      </c>
      <c r="N33" s="21">
        <f t="shared" si="32"/>
        <v>276246.54999402689</v>
      </c>
      <c r="O33" s="21">
        <f t="shared" si="32"/>
        <v>260733.49045398759</v>
      </c>
      <c r="P33" s="21">
        <f t="shared" ref="P33" si="33">0.0628*P31</f>
        <v>274504.72054376453</v>
      </c>
    </row>
    <row r="34" spans="1:16" x14ac:dyDescent="0.35">
      <c r="A34" s="26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</row>
    <row r="35" spans="1:16" x14ac:dyDescent="0.35">
      <c r="A35" s="19" t="s">
        <v>72</v>
      </c>
      <c r="B35" s="20">
        <f>B28+B30+B33</f>
        <v>1408070.3696000001</v>
      </c>
      <c r="C35" s="20">
        <f>C28+C30+C33</f>
        <v>1505733.9726077151</v>
      </c>
      <c r="D35" s="20">
        <f t="shared" ref="D35:O35" si="34">D28+D30+D33</f>
        <v>1572771.3630903824</v>
      </c>
      <c r="E35" s="20">
        <f t="shared" si="34"/>
        <v>1611015.009201139</v>
      </c>
      <c r="F35" s="20">
        <f t="shared" si="34"/>
        <v>1662071.4940223298</v>
      </c>
      <c r="G35" s="20">
        <f t="shared" si="34"/>
        <v>1690929.8592736314</v>
      </c>
      <c r="H35" s="20">
        <f t="shared" si="34"/>
        <v>1705059.17261635</v>
      </c>
      <c r="I35" s="20">
        <f t="shared" si="34"/>
        <v>1725419.6763613734</v>
      </c>
      <c r="J35" s="20">
        <f t="shared" si="34"/>
        <v>1744657.7357293218</v>
      </c>
      <c r="K35" s="20">
        <f t="shared" si="34"/>
        <v>1769377.2495973688</v>
      </c>
      <c r="L35" s="20">
        <f t="shared" si="34"/>
        <v>1793570.5052697696</v>
      </c>
      <c r="M35" s="20">
        <f t="shared" si="34"/>
        <v>1807479.4294762639</v>
      </c>
      <c r="N35" s="20">
        <f t="shared" si="34"/>
        <v>1936107.267374645</v>
      </c>
      <c r="O35" s="20">
        <f t="shared" si="34"/>
        <v>1946182.6787365603</v>
      </c>
      <c r="P35" s="20">
        <f t="shared" ref="P35" si="35">P28+P30+P33</f>
        <v>1978358.6594487894</v>
      </c>
    </row>
    <row r="37" spans="1:16" x14ac:dyDescent="0.35">
      <c r="A37" s="28" t="s">
        <v>45</v>
      </c>
      <c r="B37" s="29">
        <v>2023</v>
      </c>
      <c r="C37" s="29">
        <f t="shared" ref="C37:P37" si="36">B37+1</f>
        <v>2024</v>
      </c>
      <c r="D37" s="29">
        <f t="shared" si="36"/>
        <v>2025</v>
      </c>
      <c r="E37" s="29">
        <f t="shared" si="36"/>
        <v>2026</v>
      </c>
      <c r="F37" s="29">
        <f t="shared" si="36"/>
        <v>2027</v>
      </c>
      <c r="G37" s="29">
        <f t="shared" si="36"/>
        <v>2028</v>
      </c>
      <c r="H37" s="29">
        <f t="shared" si="36"/>
        <v>2029</v>
      </c>
      <c r="I37" s="29">
        <f t="shared" si="36"/>
        <v>2030</v>
      </c>
      <c r="J37" s="29">
        <f t="shared" si="36"/>
        <v>2031</v>
      </c>
      <c r="K37" s="29">
        <f t="shared" si="36"/>
        <v>2032</v>
      </c>
      <c r="L37" s="29">
        <f t="shared" si="36"/>
        <v>2033</v>
      </c>
      <c r="M37" s="29">
        <f t="shared" si="36"/>
        <v>2034</v>
      </c>
      <c r="N37" s="29">
        <f t="shared" si="36"/>
        <v>2035</v>
      </c>
      <c r="O37" s="29">
        <f t="shared" si="36"/>
        <v>2036</v>
      </c>
      <c r="P37" s="29">
        <f t="shared" si="36"/>
        <v>2037</v>
      </c>
    </row>
    <row r="38" spans="1:16" x14ac:dyDescent="0.35">
      <c r="A38" s="19" t="s">
        <v>8</v>
      </c>
      <c r="B38" s="20">
        <f t="shared" ref="B38:P38" si="37">SUM(B39:B42)</f>
        <v>455898.5</v>
      </c>
      <c r="C38" s="21">
        <f t="shared" si="37"/>
        <v>456110.95701046835</v>
      </c>
      <c r="D38" s="21">
        <f t="shared" si="37"/>
        <v>455496.04696475301</v>
      </c>
      <c r="E38" s="21">
        <f t="shared" si="37"/>
        <v>454053.24785758619</v>
      </c>
      <c r="F38" s="21">
        <f t="shared" si="37"/>
        <v>455401.4519069423</v>
      </c>
      <c r="G38" s="21">
        <f t="shared" si="37"/>
        <v>453932.41438708158</v>
      </c>
      <c r="H38" s="21">
        <f t="shared" si="37"/>
        <v>452491.396656428</v>
      </c>
      <c r="I38" s="21">
        <f t="shared" si="37"/>
        <v>451122.42981230712</v>
      </c>
      <c r="J38" s="21">
        <f t="shared" si="37"/>
        <v>449821.51102768932</v>
      </c>
      <c r="K38" s="21">
        <f t="shared" si="37"/>
        <v>448560.62051336752</v>
      </c>
      <c r="L38" s="21">
        <f t="shared" si="37"/>
        <v>447319.74413419352</v>
      </c>
      <c r="M38" s="21">
        <f t="shared" si="37"/>
        <v>446118.89602531563</v>
      </c>
      <c r="N38" s="21">
        <f t="shared" si="37"/>
        <v>444950.07053267444</v>
      </c>
      <c r="O38" s="21">
        <f t="shared" si="37"/>
        <v>443825.27613735874</v>
      </c>
      <c r="P38" s="21">
        <f t="shared" si="37"/>
        <v>442704.48456907261</v>
      </c>
    </row>
    <row r="39" spans="1:16" x14ac:dyDescent="0.35">
      <c r="A39" s="19" t="s">
        <v>58</v>
      </c>
      <c r="B39" s="20">
        <v>158473.5</v>
      </c>
      <c r="C39" s="24">
        <v>158279.82392698966</v>
      </c>
      <c r="D39" s="24">
        <v>157532.76953093542</v>
      </c>
      <c r="E39" s="24">
        <v>156565.05493960538</v>
      </c>
      <c r="F39" s="24">
        <v>157879.95385928088</v>
      </c>
      <c r="G39" s="24">
        <v>156889.91638698091</v>
      </c>
      <c r="H39" s="24">
        <v>155918.76246319892</v>
      </c>
      <c r="I39" s="24">
        <v>154996.16623560601</v>
      </c>
      <c r="J39" s="24">
        <v>154119.43005441394</v>
      </c>
      <c r="K39" s="24">
        <v>153269.67037110473</v>
      </c>
      <c r="L39" s="24">
        <v>152433.39893673683</v>
      </c>
      <c r="M39" s="24">
        <v>151624.10400025189</v>
      </c>
      <c r="N39" s="24">
        <v>150836.39026207317</v>
      </c>
      <c r="O39" s="24">
        <v>150078.35067156557</v>
      </c>
      <c r="P39" s="24">
        <v>149323.0087308462</v>
      </c>
    </row>
    <row r="40" spans="1:16" x14ac:dyDescent="0.35">
      <c r="A40" s="19" t="s">
        <v>59</v>
      </c>
      <c r="B40" s="20">
        <v>76800</v>
      </c>
      <c r="C40" s="24">
        <v>77206.133083478722</v>
      </c>
      <c r="D40" s="24">
        <v>77338.277433817595</v>
      </c>
      <c r="E40" s="24">
        <v>76863.192917980792</v>
      </c>
      <c r="F40" s="24">
        <v>76385.498047661385</v>
      </c>
      <c r="G40" s="24">
        <v>75906.498000100662</v>
      </c>
      <c r="H40" s="24">
        <v>75436.634193229082</v>
      </c>
      <c r="I40" s="24">
        <v>74990.263576701109</v>
      </c>
      <c r="J40" s="24">
        <v>74566.080973275413</v>
      </c>
      <c r="K40" s="24">
        <v>74154.950142262795</v>
      </c>
      <c r="L40" s="24">
        <v>73750.345197456714</v>
      </c>
      <c r="M40" s="24">
        <v>73358.79202506374</v>
      </c>
      <c r="N40" s="24">
        <v>72977.680270601268</v>
      </c>
      <c r="O40" s="24">
        <v>72610.925465793203</v>
      </c>
      <c r="P40" s="24">
        <v>72245.475838226412</v>
      </c>
    </row>
    <row r="41" spans="1:16" x14ac:dyDescent="0.35">
      <c r="A41" s="19" t="s">
        <v>60</v>
      </c>
      <c r="B41" s="20">
        <v>207078</v>
      </c>
      <c r="C41" s="24">
        <v>207078</v>
      </c>
      <c r="D41" s="24">
        <v>207078</v>
      </c>
      <c r="E41" s="24">
        <v>207078</v>
      </c>
      <c r="F41" s="24">
        <v>207589</v>
      </c>
      <c r="G41" s="24">
        <v>207589</v>
      </c>
      <c r="H41" s="24">
        <v>207589</v>
      </c>
      <c r="I41" s="24">
        <v>207589</v>
      </c>
      <c r="J41" s="24">
        <v>207589</v>
      </c>
      <c r="K41" s="24">
        <v>207589</v>
      </c>
      <c r="L41" s="24">
        <v>207589</v>
      </c>
      <c r="M41" s="24">
        <v>207589</v>
      </c>
      <c r="N41" s="24">
        <v>207589</v>
      </c>
      <c r="O41" s="24">
        <v>207589</v>
      </c>
      <c r="P41" s="24">
        <v>207589</v>
      </c>
    </row>
    <row r="42" spans="1:16" x14ac:dyDescent="0.35">
      <c r="A42" s="19" t="s">
        <v>61</v>
      </c>
      <c r="B42" s="20">
        <v>13547</v>
      </c>
      <c r="C42" s="24">
        <v>13547</v>
      </c>
      <c r="D42" s="24">
        <v>13547</v>
      </c>
      <c r="E42" s="24">
        <v>13547</v>
      </c>
      <c r="F42" s="24">
        <v>13547</v>
      </c>
      <c r="G42" s="24">
        <v>13547</v>
      </c>
      <c r="H42" s="24">
        <v>13547</v>
      </c>
      <c r="I42" s="24">
        <v>13547</v>
      </c>
      <c r="J42" s="24">
        <v>13547</v>
      </c>
      <c r="K42" s="24">
        <v>13547</v>
      </c>
      <c r="L42" s="24">
        <v>13547</v>
      </c>
      <c r="M42" s="24">
        <v>13547</v>
      </c>
      <c r="N42" s="24">
        <v>13547</v>
      </c>
      <c r="O42" s="24">
        <v>13547</v>
      </c>
      <c r="P42" s="24">
        <v>13547</v>
      </c>
    </row>
    <row r="43" spans="1:16" x14ac:dyDescent="0.35">
      <c r="A43" s="19" t="s">
        <v>9</v>
      </c>
      <c r="B43" s="20">
        <f t="shared" ref="B43:O43" si="38">SUM(B44:B47)</f>
        <v>432031</v>
      </c>
      <c r="C43" s="21">
        <f t="shared" si="38"/>
        <v>431763.32277546637</v>
      </c>
      <c r="D43" s="21">
        <f t="shared" si="38"/>
        <v>430718.63805193926</v>
      </c>
      <c r="E43" s="21">
        <f t="shared" si="38"/>
        <v>429365.38097235269</v>
      </c>
      <c r="F43" s="21">
        <f t="shared" si="38"/>
        <v>428004.68841430673</v>
      </c>
      <c r="G43" s="21">
        <f t="shared" si="38"/>
        <v>426825.57726233039</v>
      </c>
      <c r="H43" s="21">
        <f t="shared" si="38"/>
        <v>425301.89199436316</v>
      </c>
      <c r="I43" s="21">
        <f t="shared" si="38"/>
        <v>424030.42517782847</v>
      </c>
      <c r="J43" s="21">
        <f t="shared" si="38"/>
        <v>422822.15992819757</v>
      </c>
      <c r="K43" s="21">
        <f t="shared" si="38"/>
        <v>421651.07207086298</v>
      </c>
      <c r="L43" s="21">
        <f t="shared" si="38"/>
        <v>420498.57290967653</v>
      </c>
      <c r="M43" s="21">
        <f t="shared" si="38"/>
        <v>419383.25114078651</v>
      </c>
      <c r="N43" s="21">
        <f t="shared" si="38"/>
        <v>418297.67128573346</v>
      </c>
      <c r="O43" s="21">
        <f t="shared" si="38"/>
        <v>417252.98656220647</v>
      </c>
      <c r="P43" s="21">
        <f t="shared" ref="P43" si="39">SUM(P44:P47)</f>
        <v>416212.01957790903</v>
      </c>
    </row>
    <row r="44" spans="1:16" x14ac:dyDescent="0.35">
      <c r="A44" s="19" t="s">
        <v>58</v>
      </c>
      <c r="B44" s="20">
        <v>149477</v>
      </c>
      <c r="C44" s="24">
        <v>149296.44799355793</v>
      </c>
      <c r="D44" s="24">
        <v>148591.79363508249</v>
      </c>
      <c r="E44" s="24">
        <v>147679.00293584753</v>
      </c>
      <c r="F44" s="24">
        <v>146761.19690310021</v>
      </c>
      <c r="G44" s="24">
        <v>146026.18234889593</v>
      </c>
      <c r="H44" s="24">
        <v>144938.12317138637</v>
      </c>
      <c r="I44" s="24">
        <v>144080.50114078645</v>
      </c>
      <c r="J44" s="24">
        <v>143265.50944504095</v>
      </c>
      <c r="K44" s="24">
        <v>142475.59441685677</v>
      </c>
      <c r="L44" s="24">
        <v>141698.21772245332</v>
      </c>
      <c r="M44" s="24">
        <v>140945.91769561134</v>
      </c>
      <c r="N44" s="24">
        <v>140213.67900281842</v>
      </c>
      <c r="O44" s="24">
        <v>139509.02464434307</v>
      </c>
      <c r="P44" s="24">
        <v>138806.87795262382</v>
      </c>
    </row>
    <row r="45" spans="1:16" x14ac:dyDescent="0.35">
      <c r="A45" s="19" t="s">
        <v>59</v>
      </c>
      <c r="B45" s="20">
        <v>72130</v>
      </c>
      <c r="C45" s="24">
        <v>72042.874781908467</v>
      </c>
      <c r="D45" s="24">
        <v>71702.84441685678</v>
      </c>
      <c r="E45" s="24">
        <v>71262.37803650515</v>
      </c>
      <c r="F45" s="24">
        <v>70819.49151120655</v>
      </c>
      <c r="G45" s="24">
        <v>70375.394913434444</v>
      </c>
      <c r="H45" s="24">
        <v>69939.768822976795</v>
      </c>
      <c r="I45" s="24">
        <v>69525.924037042001</v>
      </c>
      <c r="J45" s="24">
        <v>69132.650483156627</v>
      </c>
      <c r="K45" s="24">
        <v>68751.477654006187</v>
      </c>
      <c r="L45" s="24">
        <v>68376.355187223206</v>
      </c>
      <c r="M45" s="24">
        <v>68013.333445175158</v>
      </c>
      <c r="N45" s="24">
        <v>67659.992282915046</v>
      </c>
      <c r="O45" s="24">
        <v>67319.961917863387</v>
      </c>
      <c r="P45" s="24">
        <v>66981.141625285221</v>
      </c>
    </row>
    <row r="46" spans="1:16" x14ac:dyDescent="0.35">
      <c r="A46" s="19" t="s">
        <v>60</v>
      </c>
      <c r="B46" s="20">
        <v>196564</v>
      </c>
      <c r="C46" s="24">
        <v>196564</v>
      </c>
      <c r="D46" s="24">
        <v>196564</v>
      </c>
      <c r="E46" s="24">
        <v>196564</v>
      </c>
      <c r="F46" s="24">
        <v>196564</v>
      </c>
      <c r="G46" s="24">
        <v>196564</v>
      </c>
      <c r="H46" s="24">
        <v>196564</v>
      </c>
      <c r="I46" s="24">
        <v>196564</v>
      </c>
      <c r="J46" s="24">
        <v>196564</v>
      </c>
      <c r="K46" s="24">
        <v>196564</v>
      </c>
      <c r="L46" s="24">
        <v>196564</v>
      </c>
      <c r="M46" s="24">
        <v>196564</v>
      </c>
      <c r="N46" s="24">
        <v>196564</v>
      </c>
      <c r="O46" s="24">
        <v>196564</v>
      </c>
      <c r="P46" s="24">
        <v>196564</v>
      </c>
    </row>
    <row r="47" spans="1:16" x14ac:dyDescent="0.35">
      <c r="A47" s="19" t="s">
        <v>61</v>
      </c>
      <c r="B47" s="20">
        <v>13860</v>
      </c>
      <c r="C47" s="24">
        <v>13860</v>
      </c>
      <c r="D47" s="24">
        <v>13860</v>
      </c>
      <c r="E47" s="24">
        <v>13860</v>
      </c>
      <c r="F47" s="24">
        <v>13860</v>
      </c>
      <c r="G47" s="24">
        <v>13860</v>
      </c>
      <c r="H47" s="24">
        <v>13860</v>
      </c>
      <c r="I47" s="24">
        <v>13860</v>
      </c>
      <c r="J47" s="24">
        <v>13860</v>
      </c>
      <c r="K47" s="24">
        <v>13860</v>
      </c>
      <c r="L47" s="24">
        <v>13860</v>
      </c>
      <c r="M47" s="24">
        <v>13860</v>
      </c>
      <c r="N47" s="24">
        <v>13860</v>
      </c>
      <c r="O47" s="24">
        <v>13860</v>
      </c>
      <c r="P47" s="24">
        <v>13860</v>
      </c>
    </row>
    <row r="48" spans="1:16" x14ac:dyDescent="0.35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1:16" x14ac:dyDescent="0.35">
      <c r="A49" s="28" t="s">
        <v>51</v>
      </c>
      <c r="B49" s="29">
        <v>2023</v>
      </c>
      <c r="C49" s="29">
        <v>2024</v>
      </c>
      <c r="D49" s="29">
        <f t="shared" ref="D49:P49" si="40">C49+1</f>
        <v>2025</v>
      </c>
      <c r="E49" s="29">
        <f t="shared" si="40"/>
        <v>2026</v>
      </c>
      <c r="F49" s="29">
        <f t="shared" si="40"/>
        <v>2027</v>
      </c>
      <c r="G49" s="29">
        <f t="shared" si="40"/>
        <v>2028</v>
      </c>
      <c r="H49" s="29">
        <f t="shared" si="40"/>
        <v>2029</v>
      </c>
      <c r="I49" s="29">
        <f t="shared" si="40"/>
        <v>2030</v>
      </c>
      <c r="J49" s="29">
        <f t="shared" si="40"/>
        <v>2031</v>
      </c>
      <c r="K49" s="29">
        <f t="shared" si="40"/>
        <v>2032</v>
      </c>
      <c r="L49" s="29">
        <f t="shared" si="40"/>
        <v>2033</v>
      </c>
      <c r="M49" s="29">
        <f t="shared" si="40"/>
        <v>2034</v>
      </c>
      <c r="N49" s="29">
        <f t="shared" si="40"/>
        <v>2035</v>
      </c>
      <c r="O49" s="29">
        <f t="shared" si="40"/>
        <v>2036</v>
      </c>
      <c r="P49" s="29">
        <f t="shared" si="40"/>
        <v>2037</v>
      </c>
    </row>
    <row r="50" spans="1:16" x14ac:dyDescent="0.35">
      <c r="A50" s="14" t="s">
        <v>62</v>
      </c>
      <c r="B50" s="32">
        <v>0.84546078681924741</v>
      </c>
      <c r="C50" s="33">
        <f>1.07/1.22</f>
        <v>0.87704918032786894</v>
      </c>
      <c r="D50" s="33">
        <f>C50</f>
        <v>0.87704918032786894</v>
      </c>
      <c r="E50" s="15">
        <f>D50*1.4139527</f>
        <v>1.2401060565573772</v>
      </c>
      <c r="F50" s="15">
        <f>E50*1.032842</f>
        <v>1.2808336196668346</v>
      </c>
      <c r="G50" s="15">
        <f>F50*1.020279</f>
        <v>1.3068076446400583</v>
      </c>
      <c r="H50" s="15">
        <f>G50*1.0116584</f>
        <v>1.3220429308843298</v>
      </c>
      <c r="I50" s="15">
        <f>H50*1.014871</f>
        <v>1.3417030313095109</v>
      </c>
      <c r="J50" s="15">
        <f>I50*1.013922</f>
        <v>1.3603822209114018</v>
      </c>
      <c r="K50" s="15">
        <f>J50*1.0169114</f>
        <v>1.3833881888021229</v>
      </c>
      <c r="L50" s="15">
        <f>K50*1.01637</f>
        <v>1.4060342534528136</v>
      </c>
      <c r="M50" s="15">
        <f>L50*1.010263</f>
        <v>1.4204643829959998</v>
      </c>
      <c r="N50" s="15">
        <f>M50*1.074731</f>
        <v>1.5266171068016741</v>
      </c>
      <c r="O50" s="15">
        <f>N50*1.0075186</f>
        <v>1.5380951301808732</v>
      </c>
      <c r="P50" s="15">
        <f>O50*1.0190355</f>
        <v>1.5673735400314313</v>
      </c>
    </row>
    <row r="51" spans="1:16" x14ac:dyDescent="0.35">
      <c r="A51" s="9" t="s">
        <v>63</v>
      </c>
      <c r="B51" s="32">
        <v>0.89934895833333328</v>
      </c>
      <c r="C51" s="33">
        <f>1.15/1.22</f>
        <v>0.94262295081967207</v>
      </c>
      <c r="D51" s="33">
        <f t="shared" ref="D51:D57" si="41">C51</f>
        <v>0.94262295081967207</v>
      </c>
      <c r="E51" s="15">
        <f>E50</f>
        <v>1.2401060565573772</v>
      </c>
      <c r="F51" s="15">
        <f t="shared" ref="F51:P53" si="42">F50</f>
        <v>1.2808336196668346</v>
      </c>
      <c r="G51" s="15">
        <f t="shared" si="42"/>
        <v>1.3068076446400583</v>
      </c>
      <c r="H51" s="15">
        <f t="shared" si="42"/>
        <v>1.3220429308843298</v>
      </c>
      <c r="I51" s="15">
        <f t="shared" si="42"/>
        <v>1.3417030313095109</v>
      </c>
      <c r="J51" s="15">
        <f t="shared" si="42"/>
        <v>1.3603822209114018</v>
      </c>
      <c r="K51" s="15">
        <f t="shared" si="42"/>
        <v>1.3833881888021229</v>
      </c>
      <c r="L51" s="15">
        <f t="shared" si="42"/>
        <v>1.4060342534528136</v>
      </c>
      <c r="M51" s="15">
        <f t="shared" si="42"/>
        <v>1.4204643829959998</v>
      </c>
      <c r="N51" s="15">
        <f t="shared" si="42"/>
        <v>1.5266171068016741</v>
      </c>
      <c r="O51" s="15">
        <f t="shared" si="42"/>
        <v>1.5380951301808732</v>
      </c>
      <c r="P51" s="15">
        <f t="shared" si="42"/>
        <v>1.5673735400314313</v>
      </c>
    </row>
    <row r="52" spans="1:16" x14ac:dyDescent="0.35">
      <c r="A52" s="9" t="s">
        <v>64</v>
      </c>
      <c r="B52" s="32">
        <v>0.97592694540221558</v>
      </c>
      <c r="C52" s="33">
        <f>1.23/1.22</f>
        <v>1.0081967213114753</v>
      </c>
      <c r="D52" s="33">
        <f t="shared" si="41"/>
        <v>1.0081967213114753</v>
      </c>
      <c r="E52" s="15">
        <f t="shared" ref="E52:E53" si="43">E51</f>
        <v>1.2401060565573772</v>
      </c>
      <c r="F52" s="15">
        <f t="shared" si="42"/>
        <v>1.2808336196668346</v>
      </c>
      <c r="G52" s="15">
        <f t="shared" si="42"/>
        <v>1.3068076446400583</v>
      </c>
      <c r="H52" s="15">
        <f t="shared" si="42"/>
        <v>1.3220429308843298</v>
      </c>
      <c r="I52" s="15">
        <f t="shared" si="42"/>
        <v>1.3417030313095109</v>
      </c>
      <c r="J52" s="15">
        <f t="shared" si="42"/>
        <v>1.3603822209114018</v>
      </c>
      <c r="K52" s="15">
        <f t="shared" si="42"/>
        <v>1.3833881888021229</v>
      </c>
      <c r="L52" s="15">
        <f t="shared" si="42"/>
        <v>1.4060342534528136</v>
      </c>
      <c r="M52" s="15">
        <f t="shared" si="42"/>
        <v>1.4204643829959998</v>
      </c>
      <c r="N52" s="15">
        <f t="shared" si="42"/>
        <v>1.5266171068016741</v>
      </c>
      <c r="O52" s="15">
        <f t="shared" si="42"/>
        <v>1.5380951301808732</v>
      </c>
      <c r="P52" s="15">
        <f t="shared" si="42"/>
        <v>1.5673735400314313</v>
      </c>
    </row>
    <row r="53" spans="1:16" x14ac:dyDescent="0.35">
      <c r="A53" s="9" t="s">
        <v>68</v>
      </c>
      <c r="B53" s="33">
        <v>1.0059201299180631</v>
      </c>
      <c r="C53" s="33">
        <f>1.27/1.22</f>
        <v>1.040983606557377</v>
      </c>
      <c r="D53" s="33">
        <f t="shared" si="41"/>
        <v>1.040983606557377</v>
      </c>
      <c r="E53" s="15">
        <f t="shared" si="43"/>
        <v>1.2401060565573772</v>
      </c>
      <c r="F53" s="15">
        <f t="shared" si="42"/>
        <v>1.2808336196668346</v>
      </c>
      <c r="G53" s="15">
        <f t="shared" si="42"/>
        <v>1.3068076446400583</v>
      </c>
      <c r="H53" s="15">
        <f t="shared" si="42"/>
        <v>1.3220429308843298</v>
      </c>
      <c r="I53" s="15">
        <f t="shared" si="42"/>
        <v>1.3417030313095109</v>
      </c>
      <c r="J53" s="15">
        <f t="shared" si="42"/>
        <v>1.3603822209114018</v>
      </c>
      <c r="K53" s="15">
        <f t="shared" si="42"/>
        <v>1.3833881888021229</v>
      </c>
      <c r="L53" s="15">
        <f t="shared" si="42"/>
        <v>1.4060342534528136</v>
      </c>
      <c r="M53" s="15">
        <f t="shared" si="42"/>
        <v>1.4204643829959998</v>
      </c>
      <c r="N53" s="15">
        <f t="shared" si="42"/>
        <v>1.5266171068016741</v>
      </c>
      <c r="O53" s="15">
        <f t="shared" si="42"/>
        <v>1.5380951301808732</v>
      </c>
      <c r="P53" s="15">
        <f t="shared" si="42"/>
        <v>1.5673735400314313</v>
      </c>
    </row>
    <row r="54" spans="1:16" x14ac:dyDescent="0.35">
      <c r="A54" s="14" t="s">
        <v>65</v>
      </c>
      <c r="B54" s="34">
        <v>1.6799373816707588</v>
      </c>
      <c r="C54" s="34">
        <f>2.06/1.22</f>
        <v>1.6885245901639345</v>
      </c>
      <c r="D54" s="33">
        <f t="shared" si="41"/>
        <v>1.6885245901639345</v>
      </c>
      <c r="E54" s="15">
        <f>D54*1.4139527</f>
        <v>2.3874939032786888</v>
      </c>
      <c r="F54" s="15">
        <f>E54*1.032842</f>
        <v>2.4659039780501675</v>
      </c>
      <c r="G54" s="15">
        <f>F54*1.020279</f>
        <v>2.5159100448210467</v>
      </c>
      <c r="H54" s="15">
        <f>G54*1.0116584</f>
        <v>2.5452415304875884</v>
      </c>
      <c r="I54" s="15">
        <f>H54*1.014871</f>
        <v>2.5830918172874697</v>
      </c>
      <c r="J54" s="15">
        <f>I54*1.013922</f>
        <v>2.6190536215677458</v>
      </c>
      <c r="K54" s="15">
        <f>J54*1.0169114</f>
        <v>2.6633454849835263</v>
      </c>
      <c r="L54" s="15">
        <f>K54*1.01637</f>
        <v>2.7069444505727067</v>
      </c>
      <c r="M54" s="15">
        <f>L54*1.010263</f>
        <v>2.7347258214689343</v>
      </c>
      <c r="N54" s="15">
        <f>M54*1.074731</f>
        <v>2.9390946168331293</v>
      </c>
      <c r="O54" s="15">
        <f>N54*1.0075186</f>
        <v>2.9611924936192509</v>
      </c>
      <c r="P54" s="15">
        <f>O54*1.0190355</f>
        <v>3.0175602733315401</v>
      </c>
    </row>
    <row r="55" spans="1:16" x14ac:dyDescent="0.35">
      <c r="A55" s="9" t="s">
        <v>66</v>
      </c>
      <c r="B55" s="34">
        <v>1.7345903230278663</v>
      </c>
      <c r="C55" s="34">
        <f>2.14/1.22</f>
        <v>1.7540983606557379</v>
      </c>
      <c r="D55" s="33">
        <f t="shared" si="41"/>
        <v>1.7540983606557379</v>
      </c>
      <c r="E55" s="15">
        <f>E54</f>
        <v>2.3874939032786888</v>
      </c>
      <c r="F55" s="15">
        <f t="shared" ref="F55:P57" si="44">F54</f>
        <v>2.4659039780501675</v>
      </c>
      <c r="G55" s="15">
        <f t="shared" si="44"/>
        <v>2.5159100448210467</v>
      </c>
      <c r="H55" s="15">
        <f t="shared" si="44"/>
        <v>2.5452415304875884</v>
      </c>
      <c r="I55" s="15">
        <f t="shared" si="44"/>
        <v>2.5830918172874697</v>
      </c>
      <c r="J55" s="15">
        <f t="shared" si="44"/>
        <v>2.6190536215677458</v>
      </c>
      <c r="K55" s="15">
        <f t="shared" si="44"/>
        <v>2.6633454849835263</v>
      </c>
      <c r="L55" s="15">
        <f t="shared" si="44"/>
        <v>2.7069444505727067</v>
      </c>
      <c r="M55" s="15">
        <f t="shared" si="44"/>
        <v>2.7347258214689343</v>
      </c>
      <c r="N55" s="15">
        <f t="shared" si="44"/>
        <v>2.9390946168331293</v>
      </c>
      <c r="O55" s="15">
        <f t="shared" si="44"/>
        <v>2.9611924936192509</v>
      </c>
      <c r="P55" s="15">
        <f t="shared" si="44"/>
        <v>3.0175602733315401</v>
      </c>
    </row>
    <row r="56" spans="1:16" x14ac:dyDescent="0.35">
      <c r="A56" s="14" t="s">
        <v>67</v>
      </c>
      <c r="B56" s="34">
        <v>1.8410695753037178</v>
      </c>
      <c r="C56" s="34">
        <f>2.26/1.22</f>
        <v>1.8524590163934425</v>
      </c>
      <c r="D56" s="33">
        <f t="shared" si="41"/>
        <v>1.8524590163934425</v>
      </c>
      <c r="E56" s="15">
        <f t="shared" ref="E56:E57" si="45">E55</f>
        <v>2.3874939032786888</v>
      </c>
      <c r="F56" s="15">
        <f t="shared" si="44"/>
        <v>2.4659039780501675</v>
      </c>
      <c r="G56" s="15">
        <f t="shared" si="44"/>
        <v>2.5159100448210467</v>
      </c>
      <c r="H56" s="15">
        <f t="shared" si="44"/>
        <v>2.5452415304875884</v>
      </c>
      <c r="I56" s="15">
        <f t="shared" si="44"/>
        <v>2.5830918172874697</v>
      </c>
      <c r="J56" s="15">
        <f t="shared" si="44"/>
        <v>2.6190536215677458</v>
      </c>
      <c r="K56" s="15">
        <f t="shared" si="44"/>
        <v>2.6633454849835263</v>
      </c>
      <c r="L56" s="15">
        <f t="shared" si="44"/>
        <v>2.7069444505727067</v>
      </c>
      <c r="M56" s="15">
        <f t="shared" si="44"/>
        <v>2.7347258214689343</v>
      </c>
      <c r="N56" s="15">
        <f t="shared" si="44"/>
        <v>2.9390946168331293</v>
      </c>
      <c r="O56" s="15">
        <f t="shared" si="44"/>
        <v>2.9611924936192509</v>
      </c>
      <c r="P56" s="15">
        <f t="shared" si="44"/>
        <v>3.0175602733315401</v>
      </c>
    </row>
    <row r="57" spans="1:16" x14ac:dyDescent="0.35">
      <c r="A57" s="9" t="s">
        <v>69</v>
      </c>
      <c r="B57" s="34">
        <v>1.8782828282828283</v>
      </c>
      <c r="C57" s="34">
        <f>2.29/1.22</f>
        <v>1.8770491803278688</v>
      </c>
      <c r="D57" s="33">
        <f t="shared" si="41"/>
        <v>1.8770491803278688</v>
      </c>
      <c r="E57" s="15">
        <f t="shared" si="45"/>
        <v>2.3874939032786888</v>
      </c>
      <c r="F57" s="15">
        <f t="shared" si="44"/>
        <v>2.4659039780501675</v>
      </c>
      <c r="G57" s="15">
        <f t="shared" si="44"/>
        <v>2.5159100448210467</v>
      </c>
      <c r="H57" s="15">
        <f t="shared" si="44"/>
        <v>2.5452415304875884</v>
      </c>
      <c r="I57" s="15">
        <f t="shared" si="44"/>
        <v>2.5830918172874697</v>
      </c>
      <c r="J57" s="15">
        <f t="shared" si="44"/>
        <v>2.6190536215677458</v>
      </c>
      <c r="K57" s="15">
        <f t="shared" si="44"/>
        <v>2.6633454849835263</v>
      </c>
      <c r="L57" s="15">
        <f t="shared" si="44"/>
        <v>2.7069444505727067</v>
      </c>
      <c r="M57" s="15">
        <f t="shared" si="44"/>
        <v>2.7347258214689343</v>
      </c>
      <c r="N57" s="15">
        <f t="shared" si="44"/>
        <v>2.9390946168331293</v>
      </c>
      <c r="O57" s="15">
        <f t="shared" si="44"/>
        <v>2.9611924936192509</v>
      </c>
      <c r="P57" s="15">
        <f t="shared" si="44"/>
        <v>3.0175602733315401</v>
      </c>
    </row>
    <row r="58" spans="1:16" x14ac:dyDescent="0.35">
      <c r="A58" s="30"/>
      <c r="B58" s="35"/>
      <c r="C58" s="36"/>
      <c r="D58" s="37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</row>
    <row r="59" spans="1:16" x14ac:dyDescent="0.35">
      <c r="A59" s="28" t="s">
        <v>73</v>
      </c>
      <c r="B59" s="39">
        <f>B39*B50+B40*B51+B41*B52+B42*B53+B44*B54+B45*B55+B46*B56+B47*B57</f>
        <v>1182922.33</v>
      </c>
      <c r="C59" s="39">
        <f>C39*C50+C40*C51+C41*C52+C42*C53+C44*C54+C45*C55+C46*C56+C47*C57</f>
        <v>1203076.6963507317</v>
      </c>
      <c r="D59" s="39">
        <f t="shared" ref="D59:P59" si="46">D39*D50+D40*D51+D41*D52+D42*D53+D44*D54+D45*D55+D46*D56+D47*D57</f>
        <v>1200759.7822847003</v>
      </c>
      <c r="E59" s="39">
        <f t="shared" si="46"/>
        <v>1588181.4120181641</v>
      </c>
      <c r="F59" s="39">
        <f t="shared" si="46"/>
        <v>1638711.9538324622</v>
      </c>
      <c r="G59" s="39">
        <f t="shared" si="46"/>
        <v>1667057.106491796</v>
      </c>
      <c r="H59" s="40">
        <f t="shared" si="46"/>
        <v>1680709.0907346075</v>
      </c>
      <c r="I59" s="40">
        <f>I39*I50+I40*I51+I41*I52+I42*I53+I44*I54+I45*I55+I46*I56+I47*I57</f>
        <v>1700581.8531286598</v>
      </c>
      <c r="J59" s="40">
        <f t="shared" si="46"/>
        <v>1719323.0954246132</v>
      </c>
      <c r="K59" s="40">
        <f t="shared" si="46"/>
        <v>1743535.9434183403</v>
      </c>
      <c r="L59" s="40">
        <f t="shared" si="46"/>
        <v>1767213.1609100159</v>
      </c>
      <c r="M59" s="40">
        <f t="shared" si="46"/>
        <v>1780594.2083717561</v>
      </c>
      <c r="N59" s="40">
        <f t="shared" si="46"/>
        <v>1908684.8232575255</v>
      </c>
      <c r="O59" s="40">
        <f t="shared" si="46"/>
        <v>1918211.9076262726</v>
      </c>
      <c r="P59" s="40">
        <f t="shared" si="46"/>
        <v>1949828.1507282052</v>
      </c>
    </row>
    <row r="60" spans="1:16" x14ac:dyDescent="0.35">
      <c r="A60" s="28" t="s">
        <v>52</v>
      </c>
      <c r="B60" s="39">
        <f>B62-B61</f>
        <v>1387769.4396000002</v>
      </c>
      <c r="C60" s="39">
        <f>C62-C61</f>
        <v>1484661.607267715</v>
      </c>
      <c r="D60" s="39">
        <f t="shared" ref="D60:O60" si="47">D62-D61</f>
        <v>1550645.3794833825</v>
      </c>
      <c r="E60" s="39">
        <f t="shared" si="47"/>
        <v>1588180.9941187149</v>
      </c>
      <c r="F60" s="39">
        <f t="shared" si="47"/>
        <v>1638712.29659301</v>
      </c>
      <c r="G60" s="39">
        <f t="shared" si="47"/>
        <v>1667056.7595008665</v>
      </c>
      <c r="H60" s="40">
        <f t="shared" si="47"/>
        <v>1680708.61084813</v>
      </c>
      <c r="I60" s="40">
        <f t="shared" si="47"/>
        <v>1700582.1033577889</v>
      </c>
      <c r="J60" s="40">
        <f t="shared" si="47"/>
        <v>1719323.4112656657</v>
      </c>
      <c r="K60" s="40">
        <f t="shared" si="47"/>
        <v>1743536.2386444395</v>
      </c>
      <c r="L60" s="40">
        <f t="shared" si="47"/>
        <v>1767212.6740977818</v>
      </c>
      <c r="M60" s="40">
        <f t="shared" si="47"/>
        <v>1780594.4416808363</v>
      </c>
      <c r="N60" s="40">
        <f t="shared" si="47"/>
        <v>1908684.5798233089</v>
      </c>
      <c r="O60" s="40">
        <f t="shared" si="47"/>
        <v>1918211.5374341973</v>
      </c>
      <c r="P60" s="40">
        <f t="shared" ref="P60" si="48">P62-P61</f>
        <v>1949828.0953203794</v>
      </c>
    </row>
    <row r="61" spans="1:16" x14ac:dyDescent="0.35">
      <c r="A61" s="28" t="s">
        <v>49</v>
      </c>
      <c r="B61" s="41">
        <f>863.01+19437.92</f>
        <v>20300.929999999997</v>
      </c>
      <c r="C61" s="39">
        <f t="shared" ref="C61:P61" si="49">B61*(1+C4)</f>
        <v>21072.365339999997</v>
      </c>
      <c r="D61" s="39">
        <f t="shared" si="49"/>
        <v>22125.983606999998</v>
      </c>
      <c r="E61" s="39">
        <f t="shared" si="49"/>
        <v>22834.015082423997</v>
      </c>
      <c r="F61" s="39">
        <f t="shared" si="49"/>
        <v>23359.197429319745</v>
      </c>
      <c r="G61" s="39">
        <f t="shared" si="49"/>
        <v>23873.099772764781</v>
      </c>
      <c r="H61" s="39">
        <f t="shared" si="49"/>
        <v>24350.561768220075</v>
      </c>
      <c r="I61" s="39">
        <f t="shared" si="49"/>
        <v>24837.573003584479</v>
      </c>
      <c r="J61" s="39">
        <f t="shared" si="49"/>
        <v>25334.324463656169</v>
      </c>
      <c r="K61" s="39">
        <f t="shared" si="49"/>
        <v>25841.010952929293</v>
      </c>
      <c r="L61" s="39">
        <f t="shared" si="49"/>
        <v>26357.83117198788</v>
      </c>
      <c r="M61" s="39">
        <f t="shared" si="49"/>
        <v>26884.987795427638</v>
      </c>
      <c r="N61" s="39">
        <f t="shared" si="49"/>
        <v>27422.687551336192</v>
      </c>
      <c r="O61" s="39">
        <f t="shared" si="49"/>
        <v>27971.141302362917</v>
      </c>
      <c r="P61" s="39">
        <f t="shared" si="49"/>
        <v>28530.564128410177</v>
      </c>
    </row>
    <row r="62" spans="1:16" x14ac:dyDescent="0.35">
      <c r="A62" s="42" t="s">
        <v>50</v>
      </c>
      <c r="B62" s="40">
        <f>B35</f>
        <v>1408070.3696000001</v>
      </c>
      <c r="C62" s="40">
        <f>C35</f>
        <v>1505733.9726077151</v>
      </c>
      <c r="D62" s="40">
        <f t="shared" ref="D62:P62" si="50">D35</f>
        <v>1572771.3630903824</v>
      </c>
      <c r="E62" s="40">
        <f t="shared" si="50"/>
        <v>1611015.009201139</v>
      </c>
      <c r="F62" s="40">
        <f t="shared" si="50"/>
        <v>1662071.4940223298</v>
      </c>
      <c r="G62" s="40">
        <f t="shared" si="50"/>
        <v>1690929.8592736314</v>
      </c>
      <c r="H62" s="40">
        <f t="shared" si="50"/>
        <v>1705059.17261635</v>
      </c>
      <c r="I62" s="40">
        <f t="shared" si="50"/>
        <v>1725419.6763613734</v>
      </c>
      <c r="J62" s="40">
        <f t="shared" si="50"/>
        <v>1744657.7357293218</v>
      </c>
      <c r="K62" s="40">
        <f t="shared" si="50"/>
        <v>1769377.2495973688</v>
      </c>
      <c r="L62" s="40">
        <f t="shared" si="50"/>
        <v>1793570.5052697696</v>
      </c>
      <c r="M62" s="40">
        <f t="shared" si="50"/>
        <v>1807479.4294762639</v>
      </c>
      <c r="N62" s="40">
        <f t="shared" si="50"/>
        <v>1936107.267374645</v>
      </c>
      <c r="O62" s="40">
        <f t="shared" si="50"/>
        <v>1946182.6787365603</v>
      </c>
      <c r="P62" s="40">
        <f t="shared" si="50"/>
        <v>1978358.6594487894</v>
      </c>
    </row>
    <row r="63" spans="1:16" ht="6.65" customHeight="1" x14ac:dyDescent="0.35">
      <c r="A63" s="30"/>
    </row>
    <row r="64" spans="1:16" ht="21.65" hidden="1" customHeight="1" x14ac:dyDescent="0.35"/>
    <row r="65" spans="1:16" ht="12" customHeight="1" x14ac:dyDescent="0.35"/>
    <row r="66" spans="1:16" x14ac:dyDescent="0.35">
      <c r="A66" s="28" t="s">
        <v>53</v>
      </c>
      <c r="B66" s="43"/>
      <c r="C66" s="21">
        <f>71</f>
        <v>71</v>
      </c>
      <c r="D66" s="21">
        <f>C66</f>
        <v>71</v>
      </c>
      <c r="E66" s="21">
        <f t="shared" ref="E66:P66" si="51">D66</f>
        <v>71</v>
      </c>
      <c r="F66" s="21">
        <f t="shared" si="51"/>
        <v>71</v>
      </c>
      <c r="G66" s="21">
        <f t="shared" si="51"/>
        <v>71</v>
      </c>
      <c r="H66" s="21">
        <f t="shared" si="51"/>
        <v>71</v>
      </c>
      <c r="I66" s="21">
        <f t="shared" si="51"/>
        <v>71</v>
      </c>
      <c r="J66" s="21">
        <f t="shared" si="51"/>
        <v>71</v>
      </c>
      <c r="K66" s="21">
        <f t="shared" si="51"/>
        <v>71</v>
      </c>
      <c r="L66" s="21">
        <f t="shared" si="51"/>
        <v>71</v>
      </c>
      <c r="M66" s="21">
        <f t="shared" si="51"/>
        <v>71</v>
      </c>
      <c r="N66" s="21">
        <f t="shared" si="51"/>
        <v>71</v>
      </c>
      <c r="O66" s="21">
        <f t="shared" si="51"/>
        <v>71</v>
      </c>
      <c r="P66" s="21">
        <f t="shared" si="51"/>
        <v>71</v>
      </c>
    </row>
    <row r="67" spans="1:16" x14ac:dyDescent="0.35">
      <c r="A67" s="28" t="s">
        <v>70</v>
      </c>
      <c r="B67" s="44"/>
      <c r="C67" s="21">
        <f>943.5*(1+C4)</f>
        <v>979.35300000000007</v>
      </c>
      <c r="D67" s="21">
        <f t="shared" ref="D67:P67" si="52">C67*(1+D4)</f>
        <v>1028.3206500000001</v>
      </c>
      <c r="E67" s="21">
        <f t="shared" si="52"/>
        <v>1061.2269108</v>
      </c>
      <c r="F67" s="21">
        <f t="shared" si="52"/>
        <v>1085.6351297484</v>
      </c>
      <c r="G67" s="21">
        <f t="shared" si="52"/>
        <v>1109.5191026028649</v>
      </c>
      <c r="H67" s="21">
        <f t="shared" si="52"/>
        <v>1131.7094846549223</v>
      </c>
      <c r="I67" s="21">
        <f t="shared" si="52"/>
        <v>1154.3436743480208</v>
      </c>
      <c r="J67" s="21">
        <f t="shared" si="52"/>
        <v>1177.4305478349813</v>
      </c>
      <c r="K67" s="21">
        <f t="shared" si="52"/>
        <v>1200.9791587916809</v>
      </c>
      <c r="L67" s="21">
        <f t="shared" si="52"/>
        <v>1224.9987419675144</v>
      </c>
      <c r="M67" s="21">
        <f t="shared" si="52"/>
        <v>1249.4987168068646</v>
      </c>
      <c r="N67" s="21">
        <f t="shared" si="52"/>
        <v>1274.4886911430019</v>
      </c>
      <c r="O67" s="21">
        <f t="shared" si="52"/>
        <v>1299.978464965862</v>
      </c>
      <c r="P67" s="21">
        <f t="shared" si="52"/>
        <v>1325.9780342651793</v>
      </c>
    </row>
    <row r="68" spans="1:16" x14ac:dyDescent="0.35">
      <c r="A68" s="28" t="s">
        <v>28</v>
      </c>
      <c r="B68" s="45"/>
      <c r="C68" s="33">
        <f>C50*0.7+C51*0.3</f>
        <v>0.89672131147540979</v>
      </c>
      <c r="D68" s="33">
        <f t="shared" ref="D68:P68" si="53">D50*0.7+D51*0.3</f>
        <v>0.89672131147540979</v>
      </c>
      <c r="E68" s="33">
        <f t="shared" si="53"/>
        <v>1.2401060565573772</v>
      </c>
      <c r="F68" s="33">
        <f t="shared" si="53"/>
        <v>1.2808336196668346</v>
      </c>
      <c r="G68" s="33">
        <f t="shared" si="53"/>
        <v>1.3068076446400583</v>
      </c>
      <c r="H68" s="33">
        <f t="shared" si="53"/>
        <v>1.3220429308843298</v>
      </c>
      <c r="I68" s="33">
        <f t="shared" si="53"/>
        <v>1.3417030313095109</v>
      </c>
      <c r="J68" s="33">
        <f t="shared" si="53"/>
        <v>1.3603822209114016</v>
      </c>
      <c r="K68" s="33">
        <f t="shared" si="53"/>
        <v>1.3833881888021229</v>
      </c>
      <c r="L68" s="33">
        <f t="shared" si="53"/>
        <v>1.4060342534528134</v>
      </c>
      <c r="M68" s="33">
        <f t="shared" si="53"/>
        <v>1.4204643829959998</v>
      </c>
      <c r="N68" s="33">
        <f t="shared" si="53"/>
        <v>1.5266171068016738</v>
      </c>
      <c r="O68" s="33">
        <f t="shared" si="53"/>
        <v>1.538095130180873</v>
      </c>
      <c r="P68" s="33">
        <f t="shared" si="53"/>
        <v>1.567373540031431</v>
      </c>
    </row>
    <row r="69" spans="1:16" x14ac:dyDescent="0.35">
      <c r="A69" s="28" t="s">
        <v>29</v>
      </c>
      <c r="B69" s="45"/>
      <c r="C69" s="33">
        <f>C54*0.7+C55*0.3</f>
        <v>1.7081967213114755</v>
      </c>
      <c r="D69" s="33">
        <f t="shared" ref="D69:P69" si="54">D54*0.7+D55*0.3</f>
        <v>1.7081967213114755</v>
      </c>
      <c r="E69" s="33">
        <f t="shared" si="54"/>
        <v>2.3874939032786884</v>
      </c>
      <c r="F69" s="33">
        <f t="shared" si="54"/>
        <v>2.4659039780501675</v>
      </c>
      <c r="G69" s="33">
        <f t="shared" si="54"/>
        <v>2.5159100448210463</v>
      </c>
      <c r="H69" s="33">
        <f t="shared" si="54"/>
        <v>2.5452415304875879</v>
      </c>
      <c r="I69" s="33">
        <f t="shared" si="54"/>
        <v>2.5830918172874697</v>
      </c>
      <c r="J69" s="33">
        <f t="shared" si="54"/>
        <v>2.6190536215677458</v>
      </c>
      <c r="K69" s="33">
        <f t="shared" si="54"/>
        <v>2.6633454849835263</v>
      </c>
      <c r="L69" s="33">
        <f t="shared" si="54"/>
        <v>2.7069444505727063</v>
      </c>
      <c r="M69" s="33">
        <f t="shared" si="54"/>
        <v>2.7347258214689343</v>
      </c>
      <c r="N69" s="33">
        <f t="shared" si="54"/>
        <v>2.9390946168331293</v>
      </c>
      <c r="O69" s="33">
        <f t="shared" si="54"/>
        <v>2.9611924936192509</v>
      </c>
      <c r="P69" s="33">
        <f t="shared" si="54"/>
        <v>3.0175602733315396</v>
      </c>
    </row>
    <row r="70" spans="1:16" x14ac:dyDescent="0.35">
      <c r="A70" s="28" t="s">
        <v>21</v>
      </c>
      <c r="B70" s="46"/>
      <c r="C70" s="47">
        <f>((C68*1.22*C66+C69*1.22*C66)*365/12/1000)</f>
        <v>6.8631558333333329</v>
      </c>
      <c r="D70" s="47">
        <f t="shared" ref="D70:O70" si="55">((D68*1.22*D66+D69*1.22*D66)*365/12/1000)</f>
        <v>6.8631558333333329</v>
      </c>
      <c r="E70" s="47">
        <f t="shared" si="55"/>
        <v>9.5576073841804181</v>
      </c>
      <c r="F70" s="47">
        <f t="shared" si="55"/>
        <v>9.8714983258916718</v>
      </c>
      <c r="G70" s="47">
        <f t="shared" si="55"/>
        <v>10.071682440442428</v>
      </c>
      <c r="H70" s="47">
        <f t="shared" si="55"/>
        <v>10.18910214300608</v>
      </c>
      <c r="I70" s="47">
        <f t="shared" si="55"/>
        <v>10.340624280974726</v>
      </c>
      <c r="J70" s="47">
        <f t="shared" si="55"/>
        <v>10.484586452214455</v>
      </c>
      <c r="K70" s="47">
        <f t="shared" si="55"/>
        <v>10.661895487542434</v>
      </c>
      <c r="L70" s="47">
        <f t="shared" si="55"/>
        <v>10.836430716673503</v>
      </c>
      <c r="M70" s="47">
        <f t="shared" si="55"/>
        <v>10.947645005118726</v>
      </c>
      <c r="N70" s="47">
        <f t="shared" si="55"/>
        <v>11.765773463996251</v>
      </c>
      <c r="O70" s="47">
        <f t="shared" si="55"/>
        <v>11.854235608362654</v>
      </c>
      <c r="P70" s="47">
        <f t="shared" ref="P70" si="56">((P68*1.22*P66+P69*1.22*P66)*365/12/1000)</f>
        <v>12.079886910285641</v>
      </c>
    </row>
    <row r="71" spans="1:16" x14ac:dyDescent="0.35">
      <c r="A71" s="28" t="s">
        <v>22</v>
      </c>
      <c r="B71" s="48"/>
      <c r="C71" s="49">
        <f t="shared" ref="C71:O71" si="57">C70/C67</f>
        <v>7.0078468471872065E-3</v>
      </c>
      <c r="D71" s="49">
        <f t="shared" si="57"/>
        <v>6.6741398544640064E-3</v>
      </c>
      <c r="E71" s="49">
        <f t="shared" si="57"/>
        <v>9.0061864120798332E-3</v>
      </c>
      <c r="F71" s="49">
        <f t="shared" si="57"/>
        <v>9.0928324401029909E-3</v>
      </c>
      <c r="G71" s="49">
        <f t="shared" si="57"/>
        <v>9.0775205373344794E-3</v>
      </c>
      <c r="H71" s="49">
        <f t="shared" si="57"/>
        <v>9.0032842183989572E-3</v>
      </c>
      <c r="I71" s="49">
        <f t="shared" si="57"/>
        <v>8.9580118215791867E-3</v>
      </c>
      <c r="J71" s="49">
        <f t="shared" si="57"/>
        <v>8.9046326099600105E-3</v>
      </c>
      <c r="K71" s="49">
        <f t="shared" si="57"/>
        <v>8.8776690332157734E-3</v>
      </c>
      <c r="L71" s="49">
        <f t="shared" si="57"/>
        <v>8.8460749757740351E-3</v>
      </c>
      <c r="M71" s="49">
        <f t="shared" si="57"/>
        <v>8.7616296502454963E-3</v>
      </c>
      <c r="N71" s="49">
        <f t="shared" si="57"/>
        <v>9.2317597996450888E-3</v>
      </c>
      <c r="O71" s="49">
        <f t="shared" si="57"/>
        <v>9.1187938322300991E-3</v>
      </c>
      <c r="P71" s="49">
        <f t="shared" ref="P71" si="58">P70/P67</f>
        <v>9.110171208062269E-3</v>
      </c>
    </row>
    <row r="73" spans="1:16" x14ac:dyDescent="0.35">
      <c r="A73" s="28" t="s">
        <v>17</v>
      </c>
      <c r="B73" s="50"/>
      <c r="C73" s="50">
        <f t="shared" ref="C73:O73" si="59">C59+C61</f>
        <v>1224149.0616907317</v>
      </c>
      <c r="D73" s="50">
        <f t="shared" si="59"/>
        <v>1222885.7658917003</v>
      </c>
      <c r="E73" s="50">
        <f t="shared" si="59"/>
        <v>1611015.4271005881</v>
      </c>
      <c r="F73" s="50">
        <f t="shared" si="59"/>
        <v>1662071.151261782</v>
      </c>
      <c r="G73" s="50">
        <f t="shared" si="59"/>
        <v>1690930.2062645608</v>
      </c>
      <c r="H73" s="50">
        <f t="shared" si="59"/>
        <v>1705059.6525028276</v>
      </c>
      <c r="I73" s="50">
        <f t="shared" si="59"/>
        <v>1725419.4261322443</v>
      </c>
      <c r="J73" s="50">
        <f t="shared" si="59"/>
        <v>1744657.4198882694</v>
      </c>
      <c r="K73" s="50">
        <f t="shared" si="59"/>
        <v>1769376.9543712696</v>
      </c>
      <c r="L73" s="50">
        <f t="shared" si="59"/>
        <v>1793570.9920820037</v>
      </c>
      <c r="M73" s="50">
        <f t="shared" si="59"/>
        <v>1807479.1961671838</v>
      </c>
      <c r="N73" s="50">
        <f t="shared" si="59"/>
        <v>1936107.5108088616</v>
      </c>
      <c r="O73" s="50">
        <f t="shared" si="59"/>
        <v>1946183.0489286357</v>
      </c>
      <c r="P73" s="50">
        <f t="shared" ref="P73" si="60">P59+P61</f>
        <v>1978358.7148566153</v>
      </c>
    </row>
    <row r="74" spans="1:16" x14ac:dyDescent="0.35">
      <c r="A74" s="30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</row>
    <row r="75" spans="1:16" x14ac:dyDescent="0.35">
      <c r="A75" s="28" t="s">
        <v>55</v>
      </c>
      <c r="B75" s="51"/>
      <c r="C75" s="29">
        <v>2024</v>
      </c>
      <c r="D75" s="29">
        <f t="shared" ref="D75" si="61">C75+1</f>
        <v>2025</v>
      </c>
      <c r="E75" s="29">
        <f t="shared" ref="E75" si="62">D75+1</f>
        <v>2026</v>
      </c>
      <c r="F75" s="29">
        <f t="shared" ref="F75" si="63">E75+1</f>
        <v>2027</v>
      </c>
      <c r="G75" s="29">
        <f t="shared" ref="G75" si="64">F75+1</f>
        <v>2028</v>
      </c>
      <c r="H75" s="29">
        <f t="shared" ref="H75" si="65">G75+1</f>
        <v>2029</v>
      </c>
      <c r="I75" s="29">
        <f t="shared" ref="I75" si="66">H75+1</f>
        <v>2030</v>
      </c>
      <c r="J75" s="29">
        <f t="shared" ref="J75" si="67">I75+1</f>
        <v>2031</v>
      </c>
      <c r="K75" s="29">
        <f t="shared" ref="K75" si="68">J75+1</f>
        <v>2032</v>
      </c>
      <c r="L75" s="29">
        <f t="shared" ref="L75" si="69">K75+1</f>
        <v>2033</v>
      </c>
      <c r="M75" s="29">
        <f t="shared" ref="M75" si="70">L75+1</f>
        <v>2034</v>
      </c>
      <c r="N75" s="29">
        <f t="shared" ref="N75" si="71">M75+1</f>
        <v>2035</v>
      </c>
      <c r="O75" s="29">
        <f t="shared" ref="O75:P75" si="72">N75+1</f>
        <v>2036</v>
      </c>
      <c r="P75" s="29">
        <f t="shared" si="72"/>
        <v>2037</v>
      </c>
    </row>
    <row r="76" spans="1:16" x14ac:dyDescent="0.35">
      <c r="A76" s="51" t="s">
        <v>11</v>
      </c>
      <c r="B76" s="21"/>
      <c r="C76" s="21">
        <f t="shared" ref="C76:O76" si="73">C73</f>
        <v>1224149.0616907317</v>
      </c>
      <c r="D76" s="21">
        <f t="shared" si="73"/>
        <v>1222885.7658917003</v>
      </c>
      <c r="E76" s="21">
        <f t="shared" si="73"/>
        <v>1611015.4271005881</v>
      </c>
      <c r="F76" s="21">
        <f t="shared" si="73"/>
        <v>1662071.151261782</v>
      </c>
      <c r="G76" s="21">
        <f t="shared" si="73"/>
        <v>1690930.2062645608</v>
      </c>
      <c r="H76" s="21">
        <f t="shared" si="73"/>
        <v>1705059.6525028276</v>
      </c>
      <c r="I76" s="21">
        <f t="shared" si="73"/>
        <v>1725419.4261322443</v>
      </c>
      <c r="J76" s="21">
        <f t="shared" si="73"/>
        <v>1744657.4198882694</v>
      </c>
      <c r="K76" s="21">
        <f t="shared" si="73"/>
        <v>1769376.9543712696</v>
      </c>
      <c r="L76" s="21">
        <f t="shared" si="73"/>
        <v>1793570.9920820037</v>
      </c>
      <c r="M76" s="21">
        <f t="shared" si="73"/>
        <v>1807479.1961671838</v>
      </c>
      <c r="N76" s="21">
        <f t="shared" si="73"/>
        <v>1936107.5108088616</v>
      </c>
      <c r="O76" s="21">
        <f t="shared" si="73"/>
        <v>1946183.0489286357</v>
      </c>
      <c r="P76" s="21">
        <f t="shared" ref="P76" si="74">P73</f>
        <v>1978358.7148566153</v>
      </c>
    </row>
    <row r="77" spans="1:16" x14ac:dyDescent="0.35">
      <c r="A77" s="51" t="s">
        <v>26</v>
      </c>
      <c r="B77" s="21"/>
      <c r="C77" s="21">
        <f t="shared" ref="C77:P77" si="75">C28</f>
        <v>1148125.5938622484</v>
      </c>
      <c r="D77" s="21">
        <f t="shared" si="75"/>
        <v>1206810.2000804129</v>
      </c>
      <c r="E77" s="21">
        <f t="shared" si="75"/>
        <v>1244141.4740195391</v>
      </c>
      <c r="F77" s="21">
        <f t="shared" si="75"/>
        <v>1276070.76849817</v>
      </c>
      <c r="G77" s="21">
        <f t="shared" si="75"/>
        <v>1297408.0557600872</v>
      </c>
      <c r="H77" s="21">
        <f t="shared" si="75"/>
        <v>1319778.9552836581</v>
      </c>
      <c r="I77" s="21">
        <f t="shared" si="75"/>
        <v>1342700.3031082116</v>
      </c>
      <c r="J77" s="21">
        <f t="shared" si="75"/>
        <v>1368318.3717670159</v>
      </c>
      <c r="K77" s="21">
        <f t="shared" si="75"/>
        <v>1392871.3693720503</v>
      </c>
      <c r="L77" s="21">
        <f t="shared" si="75"/>
        <v>1419509.7880509901</v>
      </c>
      <c r="M77" s="21">
        <f t="shared" si="75"/>
        <v>1445161.3021399886</v>
      </c>
      <c r="N77" s="21">
        <f t="shared" si="75"/>
        <v>1472876.8020541191</v>
      </c>
      <c r="O77" s="21">
        <f t="shared" si="75"/>
        <v>1438425.9471991439</v>
      </c>
      <c r="P77" s="21">
        <f t="shared" si="75"/>
        <v>1456830.6978215962</v>
      </c>
    </row>
    <row r="78" spans="1:16" x14ac:dyDescent="0.35">
      <c r="A78" s="51" t="s">
        <v>37</v>
      </c>
      <c r="B78" s="21"/>
      <c r="C78" s="21">
        <f t="shared" ref="C78:O78" si="76">C76-C77</f>
        <v>76023.467828483321</v>
      </c>
      <c r="D78" s="21">
        <f t="shared" si="76"/>
        <v>16075.565811287379</v>
      </c>
      <c r="E78" s="21">
        <f t="shared" si="76"/>
        <v>366873.95308104903</v>
      </c>
      <c r="F78" s="21">
        <f t="shared" si="76"/>
        <v>386000.38276361208</v>
      </c>
      <c r="G78" s="21">
        <f t="shared" si="76"/>
        <v>393522.1505044736</v>
      </c>
      <c r="H78" s="21">
        <f t="shared" si="76"/>
        <v>385280.69721916947</v>
      </c>
      <c r="I78" s="21">
        <f t="shared" si="76"/>
        <v>382719.12302403268</v>
      </c>
      <c r="J78" s="21">
        <f t="shared" si="76"/>
        <v>376339.04812125349</v>
      </c>
      <c r="K78" s="21">
        <f t="shared" si="76"/>
        <v>376505.58499921928</v>
      </c>
      <c r="L78" s="21">
        <f t="shared" si="76"/>
        <v>374061.20403101365</v>
      </c>
      <c r="M78" s="21">
        <f t="shared" si="76"/>
        <v>362317.89402719517</v>
      </c>
      <c r="N78" s="21">
        <f t="shared" si="76"/>
        <v>463230.70875474252</v>
      </c>
      <c r="O78" s="21">
        <f t="shared" si="76"/>
        <v>507757.10172949173</v>
      </c>
      <c r="P78" s="21">
        <f t="shared" ref="P78" si="77">P76-P77</f>
        <v>521528.01703501912</v>
      </c>
    </row>
    <row r="79" spans="1:16" x14ac:dyDescent="0.35">
      <c r="A79" s="51" t="s">
        <v>56</v>
      </c>
      <c r="B79" s="21"/>
      <c r="C79" s="21">
        <v>47096.65</v>
      </c>
      <c r="D79" s="21">
        <v>48460.9</v>
      </c>
      <c r="E79" s="21">
        <v>62165.725000000006</v>
      </c>
      <c r="F79" s="21">
        <v>62879.447200000002</v>
      </c>
      <c r="G79" s="21">
        <v>75864.80098</v>
      </c>
      <c r="H79" s="21">
        <v>72802.636540000007</v>
      </c>
      <c r="I79" s="21">
        <v>57975.147100000009</v>
      </c>
      <c r="J79" s="21">
        <v>32181.657660000004</v>
      </c>
      <c r="K79" s="21">
        <v>30919.493220000004</v>
      </c>
      <c r="L79" s="21">
        <v>41092.338401133158</v>
      </c>
      <c r="M79" s="21">
        <v>105508.05048002145</v>
      </c>
      <c r="N79" s="21">
        <v>161741.26601179727</v>
      </c>
      <c r="O79" s="21">
        <v>205247.56176110209</v>
      </c>
      <c r="P79" s="21">
        <v>201201.30234354193</v>
      </c>
    </row>
    <row r="80" spans="1:16" x14ac:dyDescent="0.35">
      <c r="A80" s="28" t="s">
        <v>19</v>
      </c>
      <c r="B80" s="32"/>
      <c r="C80" s="32">
        <f t="shared" ref="C80:P80" si="78">C78/C79</f>
        <v>1.6142011762722681</v>
      </c>
      <c r="D80" s="32">
        <f t="shared" si="78"/>
        <v>0.33172239498827671</v>
      </c>
      <c r="E80" s="32">
        <f t="shared" si="78"/>
        <v>5.9015470837193487</v>
      </c>
      <c r="F80" s="32">
        <f t="shared" si="78"/>
        <v>6.1387368997673386</v>
      </c>
      <c r="G80" s="32">
        <f t="shared" si="78"/>
        <v>5.1871506340366809</v>
      </c>
      <c r="H80" s="32">
        <f t="shared" si="78"/>
        <v>5.2921256087680888</v>
      </c>
      <c r="I80" s="32">
        <f t="shared" si="78"/>
        <v>6.6014342725838917</v>
      </c>
      <c r="J80" s="32">
        <f t="shared" si="78"/>
        <v>11.694209543128098</v>
      </c>
      <c r="K80" s="32">
        <f t="shared" si="78"/>
        <v>12.176964943127849</v>
      </c>
      <c r="L80" s="32">
        <f t="shared" si="78"/>
        <v>9.1029427524790982</v>
      </c>
      <c r="M80" s="32">
        <f t="shared" si="78"/>
        <v>3.4340307908144139</v>
      </c>
      <c r="N80" s="32">
        <f t="shared" si="78"/>
        <v>2.8640230176073609</v>
      </c>
      <c r="O80" s="32">
        <f t="shared" si="78"/>
        <v>2.4738764123322237</v>
      </c>
      <c r="P80" s="32">
        <f t="shared" si="78"/>
        <v>2.5920707816519704</v>
      </c>
    </row>
    <row r="81" spans="1:16" x14ac:dyDescent="0.35">
      <c r="A81" s="30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</row>
    <row r="82" spans="1:16" ht="0.75" hidden="1" customHeight="1" x14ac:dyDescent="0.35">
      <c r="A82" s="30" t="s">
        <v>10</v>
      </c>
    </row>
    <row r="83" spans="1:16" hidden="1" x14ac:dyDescent="0.35">
      <c r="A83" s="51" t="s">
        <v>11</v>
      </c>
      <c r="B83" s="21">
        <f t="shared" ref="B83:O83" si="79">B73</f>
        <v>0</v>
      </c>
      <c r="C83" s="21">
        <f t="shared" si="79"/>
        <v>1224149.0616907317</v>
      </c>
      <c r="D83" s="21">
        <f t="shared" si="79"/>
        <v>1222885.7658917003</v>
      </c>
      <c r="E83" s="21">
        <f t="shared" si="79"/>
        <v>1611015.4271005881</v>
      </c>
      <c r="F83" s="21">
        <f t="shared" si="79"/>
        <v>1662071.151261782</v>
      </c>
      <c r="G83" s="21">
        <f t="shared" si="79"/>
        <v>1690930.2062645608</v>
      </c>
      <c r="H83" s="21">
        <f t="shared" si="79"/>
        <v>1705059.6525028276</v>
      </c>
      <c r="I83" s="21">
        <f t="shared" si="79"/>
        <v>1725419.4261322443</v>
      </c>
      <c r="J83" s="21">
        <f t="shared" si="79"/>
        <v>1744657.4198882694</v>
      </c>
      <c r="K83" s="21">
        <f t="shared" si="79"/>
        <v>1769376.9543712696</v>
      </c>
      <c r="L83" s="21">
        <f t="shared" si="79"/>
        <v>1793570.9920820037</v>
      </c>
      <c r="M83" s="21">
        <f t="shared" si="79"/>
        <v>1807479.1961671838</v>
      </c>
      <c r="N83" s="21">
        <f t="shared" si="79"/>
        <v>1936107.5108088616</v>
      </c>
      <c r="O83" s="21">
        <f t="shared" si="79"/>
        <v>1946183.0489286357</v>
      </c>
      <c r="P83" s="21">
        <f t="shared" ref="P83" si="80">P73</f>
        <v>1978358.7148566153</v>
      </c>
    </row>
    <row r="84" spans="1:16" hidden="1" x14ac:dyDescent="0.35">
      <c r="A84" s="51" t="s">
        <v>26</v>
      </c>
      <c r="B84" s="21">
        <f t="shared" ref="B84:P84" si="81">B28</f>
        <v>1041452.7899999999</v>
      </c>
      <c r="C84" s="21">
        <f t="shared" si="81"/>
        <v>1148125.5938622484</v>
      </c>
      <c r="D84" s="21">
        <f t="shared" si="81"/>
        <v>1206810.2000804129</v>
      </c>
      <c r="E84" s="21">
        <f t="shared" si="81"/>
        <v>1244141.4740195391</v>
      </c>
      <c r="F84" s="21">
        <f t="shared" si="81"/>
        <v>1276070.76849817</v>
      </c>
      <c r="G84" s="21">
        <f t="shared" si="81"/>
        <v>1297408.0557600872</v>
      </c>
      <c r="H84" s="21">
        <f t="shared" si="81"/>
        <v>1319778.9552836581</v>
      </c>
      <c r="I84" s="21">
        <f t="shared" si="81"/>
        <v>1342700.3031082116</v>
      </c>
      <c r="J84" s="21">
        <f t="shared" si="81"/>
        <v>1368318.3717670159</v>
      </c>
      <c r="K84" s="21">
        <f t="shared" si="81"/>
        <v>1392871.3693720503</v>
      </c>
      <c r="L84" s="21">
        <f t="shared" si="81"/>
        <v>1419509.7880509901</v>
      </c>
      <c r="M84" s="21">
        <f t="shared" si="81"/>
        <v>1445161.3021399886</v>
      </c>
      <c r="N84" s="21">
        <f t="shared" si="81"/>
        <v>1472876.8020541191</v>
      </c>
      <c r="O84" s="21">
        <f t="shared" si="81"/>
        <v>1438425.9471991439</v>
      </c>
      <c r="P84" s="21">
        <f t="shared" si="81"/>
        <v>1456830.6978215962</v>
      </c>
    </row>
    <row r="85" spans="1:16" hidden="1" x14ac:dyDescent="0.35">
      <c r="A85" s="51" t="s">
        <v>18</v>
      </c>
      <c r="B85" s="21">
        <f t="shared" ref="B85:O85" si="82">B83-B84</f>
        <v>-1041452.7899999999</v>
      </c>
      <c r="C85" s="21">
        <f t="shared" si="82"/>
        <v>76023.467828483321</v>
      </c>
      <c r="D85" s="21">
        <f t="shared" si="82"/>
        <v>16075.565811287379</v>
      </c>
      <c r="E85" s="21">
        <f t="shared" si="82"/>
        <v>366873.95308104903</v>
      </c>
      <c r="F85" s="21">
        <f t="shared" si="82"/>
        <v>386000.38276361208</v>
      </c>
      <c r="G85" s="21">
        <f t="shared" si="82"/>
        <v>393522.1505044736</v>
      </c>
      <c r="H85" s="21">
        <f t="shared" si="82"/>
        <v>385280.69721916947</v>
      </c>
      <c r="I85" s="21">
        <f t="shared" si="82"/>
        <v>382719.12302403268</v>
      </c>
      <c r="J85" s="21">
        <f t="shared" si="82"/>
        <v>376339.04812125349</v>
      </c>
      <c r="K85" s="21">
        <f t="shared" si="82"/>
        <v>376505.58499921928</v>
      </c>
      <c r="L85" s="21">
        <f t="shared" si="82"/>
        <v>374061.20403101365</v>
      </c>
      <c r="M85" s="21">
        <f t="shared" si="82"/>
        <v>362317.89402719517</v>
      </c>
      <c r="N85" s="21">
        <f t="shared" si="82"/>
        <v>463230.70875474252</v>
      </c>
      <c r="O85" s="21">
        <f t="shared" si="82"/>
        <v>507757.10172949173</v>
      </c>
      <c r="P85" s="21">
        <f t="shared" ref="P85" si="83">P83-P84</f>
        <v>521528.01703501912</v>
      </c>
    </row>
    <row r="86" spans="1:16" hidden="1" x14ac:dyDescent="0.35">
      <c r="A86" s="51" t="s">
        <v>16</v>
      </c>
      <c r="B86" s="21" t="e">
        <f>#REF!+#REF!</f>
        <v>#REF!</v>
      </c>
      <c r="C86" s="21" t="e">
        <f>#REF!+#REF!</f>
        <v>#REF!</v>
      </c>
      <c r="D86" s="21" t="e">
        <f>#REF!+#REF!</f>
        <v>#REF!</v>
      </c>
      <c r="E86" s="21" t="e">
        <f>#REF!+#REF!</f>
        <v>#REF!</v>
      </c>
      <c r="F86" s="21" t="e">
        <f>#REF!+#REF!</f>
        <v>#REF!</v>
      </c>
      <c r="G86" s="21" t="e">
        <f>#REF!+#REF!</f>
        <v>#REF!</v>
      </c>
      <c r="H86" s="21" t="e">
        <f>#REF!+#REF!</f>
        <v>#REF!</v>
      </c>
      <c r="I86" s="21" t="e">
        <f>#REF!+#REF!</f>
        <v>#REF!</v>
      </c>
      <c r="J86" s="21" t="e">
        <f>#REF!+#REF!</f>
        <v>#REF!</v>
      </c>
      <c r="K86" s="21" t="e">
        <f>#REF!+#REF!</f>
        <v>#REF!</v>
      </c>
      <c r="L86" s="21" t="e">
        <f>#REF!+#REF!</f>
        <v>#REF!</v>
      </c>
      <c r="M86" s="21" t="e">
        <f>#REF!+#REF!</f>
        <v>#REF!</v>
      </c>
      <c r="N86" s="21" t="e">
        <f>#REF!+#REF!</f>
        <v>#REF!</v>
      </c>
      <c r="O86" s="21" t="e">
        <f>#REF!+#REF!</f>
        <v>#REF!</v>
      </c>
      <c r="P86" s="21" t="e">
        <f>#REF!+#REF!</f>
        <v>#REF!</v>
      </c>
    </row>
    <row r="87" spans="1:16" ht="15" hidden="1" customHeight="1" x14ac:dyDescent="0.35">
      <c r="A87" s="28" t="s">
        <v>19</v>
      </c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</row>
    <row r="88" spans="1:16" hidden="1" x14ac:dyDescent="0.35"/>
    <row r="89" spans="1:16" hidden="1" x14ac:dyDescent="0.35"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6" x14ac:dyDescent="0.35">
      <c r="A90" s="28" t="s">
        <v>25</v>
      </c>
      <c r="B90" s="14"/>
      <c r="C90" s="29">
        <v>2024</v>
      </c>
      <c r="D90" s="29">
        <f t="shared" ref="D90" si="84">C90+1</f>
        <v>2025</v>
      </c>
      <c r="E90" s="29">
        <f t="shared" ref="E90" si="85">D90+1</f>
        <v>2026</v>
      </c>
      <c r="F90" s="29">
        <f t="shared" ref="F90" si="86">E90+1</f>
        <v>2027</v>
      </c>
      <c r="G90" s="29">
        <f t="shared" ref="G90" si="87">F90+1</f>
        <v>2028</v>
      </c>
      <c r="H90" s="29">
        <f t="shared" ref="H90" si="88">G90+1</f>
        <v>2029</v>
      </c>
      <c r="I90" s="29">
        <f t="shared" ref="I90" si="89">H90+1</f>
        <v>2030</v>
      </c>
      <c r="J90" s="29">
        <f t="shared" ref="J90" si="90">I90+1</f>
        <v>2031</v>
      </c>
      <c r="K90" s="29">
        <f t="shared" ref="K90" si="91">J90+1</f>
        <v>2032</v>
      </c>
      <c r="L90" s="29">
        <f t="shared" ref="L90" si="92">K90+1</f>
        <v>2033</v>
      </c>
      <c r="M90" s="29">
        <f t="shared" ref="M90" si="93">L90+1</f>
        <v>2034</v>
      </c>
      <c r="N90" s="29">
        <f t="shared" ref="N90" si="94">M90+1</f>
        <v>2035</v>
      </c>
      <c r="O90" s="29">
        <f t="shared" ref="O90:P90" si="95">N90+1</f>
        <v>2036</v>
      </c>
      <c r="P90" s="29">
        <f t="shared" si="95"/>
        <v>2037</v>
      </c>
    </row>
    <row r="91" spans="1:16" x14ac:dyDescent="0.35">
      <c r="A91" s="51" t="s">
        <v>11</v>
      </c>
      <c r="B91" s="14"/>
      <c r="C91" s="21">
        <f t="shared" ref="C91:O91" si="96">C73</f>
        <v>1224149.0616907317</v>
      </c>
      <c r="D91" s="21">
        <f t="shared" si="96"/>
        <v>1222885.7658917003</v>
      </c>
      <c r="E91" s="21">
        <f t="shared" si="96"/>
        <v>1611015.4271005881</v>
      </c>
      <c r="F91" s="21">
        <f t="shared" si="96"/>
        <v>1662071.151261782</v>
      </c>
      <c r="G91" s="21">
        <f t="shared" si="96"/>
        <v>1690930.2062645608</v>
      </c>
      <c r="H91" s="21">
        <f t="shared" si="96"/>
        <v>1705059.6525028276</v>
      </c>
      <c r="I91" s="21">
        <f t="shared" si="96"/>
        <v>1725419.4261322443</v>
      </c>
      <c r="J91" s="21">
        <f t="shared" si="96"/>
        <v>1744657.4198882694</v>
      </c>
      <c r="K91" s="21">
        <f t="shared" si="96"/>
        <v>1769376.9543712696</v>
      </c>
      <c r="L91" s="21">
        <f t="shared" si="96"/>
        <v>1793570.9920820037</v>
      </c>
      <c r="M91" s="21">
        <f t="shared" si="96"/>
        <v>1807479.1961671838</v>
      </c>
      <c r="N91" s="21">
        <f t="shared" si="96"/>
        <v>1936107.5108088616</v>
      </c>
      <c r="O91" s="21">
        <f t="shared" si="96"/>
        <v>1946183.0489286357</v>
      </c>
      <c r="P91" s="21">
        <f t="shared" ref="P91" si="97">P73</f>
        <v>1978358.7148566153</v>
      </c>
    </row>
    <row r="92" spans="1:16" x14ac:dyDescent="0.35">
      <c r="A92" s="51" t="s">
        <v>20</v>
      </c>
      <c r="B92" s="14"/>
      <c r="C92" s="21">
        <f t="shared" ref="C92:P92" si="98">C28</f>
        <v>1148125.5938622484</v>
      </c>
      <c r="D92" s="21">
        <f t="shared" si="98"/>
        <v>1206810.2000804129</v>
      </c>
      <c r="E92" s="21">
        <f t="shared" si="98"/>
        <v>1244141.4740195391</v>
      </c>
      <c r="F92" s="21">
        <f t="shared" si="98"/>
        <v>1276070.76849817</v>
      </c>
      <c r="G92" s="21">
        <f t="shared" si="98"/>
        <v>1297408.0557600872</v>
      </c>
      <c r="H92" s="21">
        <f t="shared" si="98"/>
        <v>1319778.9552836581</v>
      </c>
      <c r="I92" s="21">
        <f t="shared" si="98"/>
        <v>1342700.3031082116</v>
      </c>
      <c r="J92" s="21">
        <f t="shared" si="98"/>
        <v>1368318.3717670159</v>
      </c>
      <c r="K92" s="21">
        <f t="shared" si="98"/>
        <v>1392871.3693720503</v>
      </c>
      <c r="L92" s="21">
        <f t="shared" si="98"/>
        <v>1419509.7880509901</v>
      </c>
      <c r="M92" s="21">
        <f t="shared" si="98"/>
        <v>1445161.3021399886</v>
      </c>
      <c r="N92" s="21">
        <f t="shared" si="98"/>
        <v>1472876.8020541191</v>
      </c>
      <c r="O92" s="21">
        <f t="shared" si="98"/>
        <v>1438425.9471991439</v>
      </c>
      <c r="P92" s="21">
        <f t="shared" si="98"/>
        <v>1456830.6978215962</v>
      </c>
    </row>
    <row r="93" spans="1:16" x14ac:dyDescent="0.35">
      <c r="A93" s="51" t="s">
        <v>23</v>
      </c>
      <c r="B93" s="14"/>
      <c r="C93" s="21">
        <f t="shared" ref="C93:P93" si="99">C30</f>
        <v>146029</v>
      </c>
      <c r="D93" s="21">
        <f t="shared" si="99"/>
        <v>146029</v>
      </c>
      <c r="E93" s="21">
        <f t="shared" si="99"/>
        <v>154255.75</v>
      </c>
      <c r="F93" s="21">
        <f t="shared" si="99"/>
        <v>158649.38680000001</v>
      </c>
      <c r="G93" s="21">
        <f t="shared" si="99"/>
        <v>170290.76347000001</v>
      </c>
      <c r="H93" s="21">
        <f t="shared" si="99"/>
        <v>172907.786266696</v>
      </c>
      <c r="I93" s="21">
        <f t="shared" si="99"/>
        <v>172907.786266696</v>
      </c>
      <c r="J93" s="21">
        <f t="shared" si="99"/>
        <v>177686.48845053365</v>
      </c>
      <c r="K93" s="21">
        <f t="shared" si="99"/>
        <v>177686.48845053365</v>
      </c>
      <c r="L93" s="21">
        <f t="shared" si="99"/>
        <v>186983.91532649889</v>
      </c>
      <c r="M93" s="21">
        <f t="shared" si="99"/>
        <v>186983.91532649889</v>
      </c>
      <c r="N93" s="21">
        <f t="shared" si="99"/>
        <v>186983.91532649889</v>
      </c>
      <c r="O93" s="21">
        <f t="shared" si="99"/>
        <v>247023.24108342867</v>
      </c>
      <c r="P93" s="21">
        <f t="shared" si="99"/>
        <v>247023.24108342867</v>
      </c>
    </row>
    <row r="94" spans="1:16" x14ac:dyDescent="0.35">
      <c r="A94" s="52" t="s">
        <v>24</v>
      </c>
      <c r="B94" s="14"/>
      <c r="C94" s="24">
        <f t="shared" ref="C94:O94" si="100">C91-C92</f>
        <v>76023.467828483321</v>
      </c>
      <c r="D94" s="24">
        <f t="shared" si="100"/>
        <v>16075.565811287379</v>
      </c>
      <c r="E94" s="24">
        <f t="shared" si="100"/>
        <v>366873.95308104903</v>
      </c>
      <c r="F94" s="24">
        <f t="shared" si="100"/>
        <v>386000.38276361208</v>
      </c>
      <c r="G94" s="24">
        <f t="shared" si="100"/>
        <v>393522.1505044736</v>
      </c>
      <c r="H94" s="24">
        <f t="shared" si="100"/>
        <v>385280.69721916947</v>
      </c>
      <c r="I94" s="24">
        <f t="shared" si="100"/>
        <v>382719.12302403268</v>
      </c>
      <c r="J94" s="24">
        <f t="shared" si="100"/>
        <v>376339.04812125349</v>
      </c>
      <c r="K94" s="24">
        <f t="shared" si="100"/>
        <v>376505.58499921928</v>
      </c>
      <c r="L94" s="24">
        <f t="shared" si="100"/>
        <v>374061.20403101365</v>
      </c>
      <c r="M94" s="24">
        <f t="shared" si="100"/>
        <v>362317.89402719517</v>
      </c>
      <c r="N94" s="24">
        <f t="shared" si="100"/>
        <v>463230.70875474252</v>
      </c>
      <c r="O94" s="24">
        <f t="shared" si="100"/>
        <v>507757.10172949173</v>
      </c>
      <c r="P94" s="24">
        <f t="shared" ref="P94" si="101">P91-P92</f>
        <v>521528.01703501912</v>
      </c>
    </row>
    <row r="95" spans="1:16" x14ac:dyDescent="0.35">
      <c r="A95" s="53" t="s">
        <v>30</v>
      </c>
      <c r="B95" s="14"/>
      <c r="C95" s="21">
        <f t="shared" ref="C95:O95" si="102">C91-(C92+C93)</f>
        <v>-70005.532171516679</v>
      </c>
      <c r="D95" s="21">
        <f t="shared" si="102"/>
        <v>-129953.43418871262</v>
      </c>
      <c r="E95" s="21">
        <f t="shared" si="102"/>
        <v>212618.20308104903</v>
      </c>
      <c r="F95" s="21">
        <f t="shared" si="102"/>
        <v>227350.99596361211</v>
      </c>
      <c r="G95" s="21">
        <f t="shared" si="102"/>
        <v>223231.38703447371</v>
      </c>
      <c r="H95" s="21">
        <f t="shared" si="102"/>
        <v>212372.91095247352</v>
      </c>
      <c r="I95" s="21">
        <f t="shared" si="102"/>
        <v>209811.33675733674</v>
      </c>
      <c r="J95" s="21">
        <f t="shared" si="102"/>
        <v>198652.55967071978</v>
      </c>
      <c r="K95" s="21">
        <f t="shared" si="102"/>
        <v>198819.09654868557</v>
      </c>
      <c r="L95" s="21">
        <f t="shared" si="102"/>
        <v>187077.28870451474</v>
      </c>
      <c r="M95" s="21">
        <f t="shared" si="102"/>
        <v>175333.97870069626</v>
      </c>
      <c r="N95" s="21">
        <f t="shared" si="102"/>
        <v>276246.7934282436</v>
      </c>
      <c r="O95" s="21">
        <f t="shared" si="102"/>
        <v>260733.860646063</v>
      </c>
      <c r="P95" s="21">
        <f t="shared" ref="P95" si="103">P91-(P92+P93)</f>
        <v>274504.77595159039</v>
      </c>
    </row>
    <row r="97" spans="1:16" x14ac:dyDescent="0.35">
      <c r="A97" s="28" t="s">
        <v>38</v>
      </c>
      <c r="B97" s="51"/>
      <c r="C97" s="29">
        <v>2024</v>
      </c>
      <c r="D97" s="29">
        <f t="shared" ref="D97" si="104">C97+1</f>
        <v>2025</v>
      </c>
      <c r="E97" s="29">
        <f t="shared" ref="E97" si="105">D97+1</f>
        <v>2026</v>
      </c>
      <c r="F97" s="29">
        <f t="shared" ref="F97" si="106">E97+1</f>
        <v>2027</v>
      </c>
      <c r="G97" s="29">
        <f t="shared" ref="G97" si="107">F97+1</f>
        <v>2028</v>
      </c>
      <c r="H97" s="29">
        <f t="shared" ref="H97" si="108">G97+1</f>
        <v>2029</v>
      </c>
      <c r="I97" s="29">
        <f t="shared" ref="I97" si="109">H97+1</f>
        <v>2030</v>
      </c>
      <c r="J97" s="29">
        <f t="shared" ref="J97" si="110">I97+1</f>
        <v>2031</v>
      </c>
      <c r="K97" s="29">
        <f t="shared" ref="K97" si="111">J97+1</f>
        <v>2032</v>
      </c>
      <c r="L97" s="29">
        <f t="shared" ref="L97" si="112">K97+1</f>
        <v>2033</v>
      </c>
      <c r="M97" s="29">
        <f t="shared" ref="M97" si="113">L97+1</f>
        <v>2034</v>
      </c>
      <c r="N97" s="29">
        <f t="shared" ref="N97" si="114">M97+1</f>
        <v>2035</v>
      </c>
      <c r="O97" s="29">
        <f t="shared" ref="O97:P97" si="115">N97+1</f>
        <v>2036</v>
      </c>
      <c r="P97" s="29">
        <f t="shared" si="115"/>
        <v>2037</v>
      </c>
    </row>
    <row r="98" spans="1:16" x14ac:dyDescent="0.35">
      <c r="A98" s="51" t="s">
        <v>39</v>
      </c>
      <c r="B98" s="51"/>
      <c r="C98" s="21">
        <f>C73</f>
        <v>1224149.0616907317</v>
      </c>
      <c r="D98" s="21">
        <f t="shared" ref="D98:O98" si="116">D73</f>
        <v>1222885.7658917003</v>
      </c>
      <c r="E98" s="21">
        <f t="shared" si="116"/>
        <v>1611015.4271005881</v>
      </c>
      <c r="F98" s="21">
        <f t="shared" si="116"/>
        <v>1662071.151261782</v>
      </c>
      <c r="G98" s="21">
        <f t="shared" si="116"/>
        <v>1690930.2062645608</v>
      </c>
      <c r="H98" s="21">
        <f t="shared" si="116"/>
        <v>1705059.6525028276</v>
      </c>
      <c r="I98" s="21">
        <f t="shared" si="116"/>
        <v>1725419.4261322443</v>
      </c>
      <c r="J98" s="21">
        <f t="shared" si="116"/>
        <v>1744657.4198882694</v>
      </c>
      <c r="K98" s="21">
        <f t="shared" si="116"/>
        <v>1769376.9543712696</v>
      </c>
      <c r="L98" s="21">
        <f t="shared" si="116"/>
        <v>1793570.9920820037</v>
      </c>
      <c r="M98" s="21">
        <f t="shared" si="116"/>
        <v>1807479.1961671838</v>
      </c>
      <c r="N98" s="21">
        <f t="shared" si="116"/>
        <v>1936107.5108088616</v>
      </c>
      <c r="O98" s="21">
        <f t="shared" si="116"/>
        <v>1946183.0489286357</v>
      </c>
      <c r="P98" s="21">
        <f t="shared" ref="P98" si="117">P73</f>
        <v>1978358.7148566153</v>
      </c>
    </row>
    <row r="99" spans="1:16" ht="14.4" customHeight="1" x14ac:dyDescent="0.35">
      <c r="A99" s="51" t="s">
        <v>54</v>
      </c>
      <c r="B99" s="51"/>
      <c r="C99" s="54">
        <v>0</v>
      </c>
      <c r="D99" s="54">
        <v>126570</v>
      </c>
      <c r="E99" s="54">
        <v>0</v>
      </c>
      <c r="F99" s="54">
        <v>125862.88800000004</v>
      </c>
      <c r="G99" s="54">
        <v>0</v>
      </c>
      <c r="H99" s="54">
        <v>0</v>
      </c>
      <c r="I99" s="54">
        <v>0</v>
      </c>
      <c r="J99" s="54">
        <v>0</v>
      </c>
      <c r="K99" s="54">
        <v>0</v>
      </c>
      <c r="L99" s="54">
        <v>457400.38484532631</v>
      </c>
      <c r="M99" s="54">
        <v>385853.17501343321</v>
      </c>
      <c r="N99" s="54">
        <v>500614.71827427449</v>
      </c>
      <c r="O99" s="54">
        <v>0</v>
      </c>
      <c r="P99" s="54">
        <v>132095.85652420012</v>
      </c>
    </row>
    <row r="100" spans="1:16" ht="14.4" customHeight="1" x14ac:dyDescent="0.35">
      <c r="A100" s="51" t="s">
        <v>74</v>
      </c>
      <c r="B100" s="51"/>
      <c r="C100" s="54">
        <v>0</v>
      </c>
      <c r="D100" s="54">
        <v>182385</v>
      </c>
      <c r="E100" s="54">
        <v>0</v>
      </c>
      <c r="F100" s="54">
        <v>0</v>
      </c>
      <c r="G100" s="54">
        <v>0</v>
      </c>
      <c r="H100" s="54">
        <v>0</v>
      </c>
      <c r="I100" s="54">
        <v>0</v>
      </c>
      <c r="J100" s="54">
        <v>0</v>
      </c>
      <c r="K100" s="54">
        <v>0</v>
      </c>
      <c r="L100" s="54">
        <v>0</v>
      </c>
      <c r="M100" s="54">
        <v>0</v>
      </c>
      <c r="N100" s="54">
        <v>0</v>
      </c>
      <c r="O100" s="54">
        <v>0</v>
      </c>
      <c r="P100" s="54">
        <v>0</v>
      </c>
    </row>
    <row r="101" spans="1:16" x14ac:dyDescent="0.35">
      <c r="A101" s="51" t="s">
        <v>40</v>
      </c>
      <c r="B101" s="51"/>
      <c r="C101" s="21">
        <f t="shared" ref="C101:P101" si="118">C28</f>
        <v>1148125.5938622484</v>
      </c>
      <c r="D101" s="21">
        <f t="shared" si="118"/>
        <v>1206810.2000804129</v>
      </c>
      <c r="E101" s="21">
        <f t="shared" si="118"/>
        <v>1244141.4740195391</v>
      </c>
      <c r="F101" s="21">
        <f t="shared" si="118"/>
        <v>1276070.76849817</v>
      </c>
      <c r="G101" s="21">
        <f t="shared" si="118"/>
        <v>1297408.0557600872</v>
      </c>
      <c r="H101" s="21">
        <f t="shared" si="118"/>
        <v>1319778.9552836581</v>
      </c>
      <c r="I101" s="21">
        <f t="shared" si="118"/>
        <v>1342700.3031082116</v>
      </c>
      <c r="J101" s="21">
        <f t="shared" si="118"/>
        <v>1368318.3717670159</v>
      </c>
      <c r="K101" s="21">
        <f t="shared" si="118"/>
        <v>1392871.3693720503</v>
      </c>
      <c r="L101" s="21">
        <f t="shared" si="118"/>
        <v>1419509.7880509901</v>
      </c>
      <c r="M101" s="21">
        <f t="shared" si="118"/>
        <v>1445161.3021399886</v>
      </c>
      <c r="N101" s="21">
        <f t="shared" si="118"/>
        <v>1472876.8020541191</v>
      </c>
      <c r="O101" s="21">
        <f t="shared" si="118"/>
        <v>1438425.9471991439</v>
      </c>
      <c r="P101" s="21">
        <f t="shared" si="118"/>
        <v>1456830.6978215962</v>
      </c>
    </row>
    <row r="102" spans="1:16" x14ac:dyDescent="0.35">
      <c r="A102" s="51" t="s">
        <v>41</v>
      </c>
      <c r="B102" s="51"/>
      <c r="C102" s="55">
        <v>0</v>
      </c>
      <c r="D102" s="21">
        <v>276570</v>
      </c>
      <c r="E102" s="21">
        <v>213317.49600000004</v>
      </c>
      <c r="F102" s="21">
        <v>275862.88800000004</v>
      </c>
      <c r="G102" s="21">
        <v>113744.19428063999</v>
      </c>
      <c r="H102" s="21">
        <v>0</v>
      </c>
      <c r="I102" s="21">
        <v>132130.01429965813</v>
      </c>
      <c r="J102" s="21">
        <v>90169.010650524957</v>
      </c>
      <c r="K102" s="21">
        <v>90169.010650524957</v>
      </c>
      <c r="L102" s="21">
        <v>607400.38484532631</v>
      </c>
      <c r="M102" s="21">
        <v>535853.17501343321</v>
      </c>
      <c r="N102" s="21">
        <v>650614.71827427449</v>
      </c>
      <c r="O102" s="21">
        <v>184214.48789962588</v>
      </c>
      <c r="P102" s="21">
        <v>282095.85652420012</v>
      </c>
    </row>
    <row r="103" spans="1:16" x14ac:dyDescent="0.35">
      <c r="A103" s="51" t="s">
        <v>44</v>
      </c>
      <c r="B103" s="51"/>
      <c r="C103" s="21">
        <f>C79</f>
        <v>47096.65</v>
      </c>
      <c r="D103" s="21">
        <f t="shared" ref="D103:P103" si="119">D79</f>
        <v>48460.9</v>
      </c>
      <c r="E103" s="21">
        <f t="shared" si="119"/>
        <v>62165.725000000006</v>
      </c>
      <c r="F103" s="21">
        <f t="shared" si="119"/>
        <v>62879.447200000002</v>
      </c>
      <c r="G103" s="21">
        <f t="shared" si="119"/>
        <v>75864.80098</v>
      </c>
      <c r="H103" s="21">
        <f t="shared" si="119"/>
        <v>72802.636540000007</v>
      </c>
      <c r="I103" s="21">
        <f t="shared" si="119"/>
        <v>57975.147100000009</v>
      </c>
      <c r="J103" s="21">
        <f t="shared" si="119"/>
        <v>32181.657660000004</v>
      </c>
      <c r="K103" s="21">
        <f t="shared" si="119"/>
        <v>30919.493220000004</v>
      </c>
      <c r="L103" s="21">
        <f t="shared" si="119"/>
        <v>41092.338401133158</v>
      </c>
      <c r="M103" s="21">
        <f t="shared" si="119"/>
        <v>105508.05048002145</v>
      </c>
      <c r="N103" s="21">
        <f t="shared" si="119"/>
        <v>161741.26601179727</v>
      </c>
      <c r="O103" s="21">
        <f t="shared" si="119"/>
        <v>205247.56176110209</v>
      </c>
      <c r="P103" s="21">
        <f t="shared" si="119"/>
        <v>201201.30234354193</v>
      </c>
    </row>
    <row r="104" spans="1:16" x14ac:dyDescent="0.35">
      <c r="A104" s="51" t="s">
        <v>42</v>
      </c>
      <c r="B104" s="51"/>
      <c r="C104" s="21">
        <f>C98+C99+C100-C101-C102-C103</f>
        <v>28926.817828483319</v>
      </c>
      <c r="D104" s="21">
        <f t="shared" ref="D104:P104" si="120">D98+D99+D100-D101-D102-D103</f>
        <v>-0.33418871262256289</v>
      </c>
      <c r="E104" s="21">
        <f t="shared" si="120"/>
        <v>91390.732081048976</v>
      </c>
      <c r="F104" s="21">
        <f t="shared" si="120"/>
        <v>173120.93556361209</v>
      </c>
      <c r="G104" s="21">
        <f t="shared" si="120"/>
        <v>203913.15524383361</v>
      </c>
      <c r="H104" s="21">
        <f t="shared" si="120"/>
        <v>312478.06067916949</v>
      </c>
      <c r="I104" s="21">
        <f t="shared" si="120"/>
        <v>192613.96162437455</v>
      </c>
      <c r="J104" s="21">
        <f t="shared" si="120"/>
        <v>253988.37981072851</v>
      </c>
      <c r="K104" s="21">
        <f t="shared" si="120"/>
        <v>255417.08112869429</v>
      </c>
      <c r="L104" s="21">
        <f t="shared" si="120"/>
        <v>182968.8656298806</v>
      </c>
      <c r="M104" s="21">
        <f t="shared" si="120"/>
        <v>106809.84354717395</v>
      </c>
      <c r="N104" s="21">
        <f t="shared" si="120"/>
        <v>151489.44274294536</v>
      </c>
      <c r="O104" s="21">
        <f t="shared" si="120"/>
        <v>118295.05206876373</v>
      </c>
      <c r="P104" s="21">
        <f t="shared" si="120"/>
        <v>170326.71469147725</v>
      </c>
    </row>
    <row r="105" spans="1:16" x14ac:dyDescent="0.35">
      <c r="A105" s="51" t="s">
        <v>43</v>
      </c>
      <c r="B105" s="51"/>
      <c r="C105" s="21">
        <f>C104</f>
        <v>28926.817828483319</v>
      </c>
      <c r="D105" s="21">
        <f>C105+D104</f>
        <v>28926.483639770697</v>
      </c>
      <c r="E105" s="21">
        <f t="shared" ref="E105:P105" si="121">D105+E104</f>
        <v>120317.21572081967</v>
      </c>
      <c r="F105" s="21">
        <f t="shared" si="121"/>
        <v>293438.15128443175</v>
      </c>
      <c r="G105" s="21">
        <f t="shared" si="121"/>
        <v>497351.30652826536</v>
      </c>
      <c r="H105" s="21">
        <f t="shared" si="121"/>
        <v>809829.36720743484</v>
      </c>
      <c r="I105" s="21">
        <f t="shared" si="121"/>
        <v>1002443.3288318093</v>
      </c>
      <c r="J105" s="21">
        <f t="shared" si="121"/>
        <v>1256431.7086425379</v>
      </c>
      <c r="K105" s="21">
        <f t="shared" si="121"/>
        <v>1511848.7897712323</v>
      </c>
      <c r="L105" s="21">
        <f t="shared" si="121"/>
        <v>1694817.655401113</v>
      </c>
      <c r="M105" s="21">
        <f t="shared" si="121"/>
        <v>1801627.498948287</v>
      </c>
      <c r="N105" s="21">
        <f t="shared" si="121"/>
        <v>1953116.9416912324</v>
      </c>
      <c r="O105" s="21">
        <f t="shared" si="121"/>
        <v>2071411.993759996</v>
      </c>
      <c r="P105" s="21">
        <f t="shared" si="121"/>
        <v>2241738.7084514732</v>
      </c>
    </row>
  </sheetData>
  <pageMargins left="0.7" right="0.7" top="0.75" bottom="0.75" header="0.3" footer="0.3"/>
  <pageSetup paperSize="9" orientation="portrait" r:id="rId1"/>
  <ignoredErrors>
    <ignoredError sqref="H23 D43:O43 C55 O21 O23 E51 E54 F54 G54 H54 I54 J54 K54 L54 M54 N54 O54:P54" formula="1"/>
    <ignoredError sqref="C95:O95 B9 D9:O9" evalError="1"/>
    <ignoredError sqref="B4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TAPA VESI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2024-12-17T11:11:13Z</dcterms:modified>
</cp:coreProperties>
</file>